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8" activeTab="0"/>
  </bookViews>
  <sheets>
    <sheet name="L_RIT" sheetId="1" r:id="rId1"/>
  </sheets>
  <definedNames/>
  <calcPr calcId="125725"/>
</workbook>
</file>

<file path=xl/sharedStrings.xml><?xml version="1.0" encoding="utf-8"?>
<sst xmlns="http://schemas.openxmlformats.org/spreadsheetml/2006/main" count="2302" uniqueCount="251">
  <si>
    <t>Beneficiario</t>
  </si>
  <si>
    <t>Mandato</t>
  </si>
  <si>
    <t>Data mandato</t>
  </si>
  <si>
    <t>Num. fattura</t>
  </si>
  <si>
    <t>Data fattura</t>
  </si>
  <si>
    <t>Nr.bolletta 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</si>
  <si>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</si>
  <si>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</si>
  <si>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</si>
  <si>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</si>
  <si>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</si>
  <si>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</si>
  <si>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</si>
  <si>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</si>
  <si>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</si>
  <si>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UMBRA ACQUE SPA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</si>
  <si>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</si>
  <si>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</si>
  <si>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</t>
  </si>
  <si>
    <t>VIOLINI ALESSANDRO S.R.L.</t>
  </si>
  <si>
    <t>FATTPA 3_16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</si>
  <si>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</si>
  <si>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GALA S.P.A.</t>
  </si>
  <si>
    <t>E000033386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</si>
  <si>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</si>
  <si>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E000033387</t>
  </si>
  <si>
    <t>CORPO BANDISTICO `LO SMERALDO`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</si>
  <si>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</si>
  <si>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FALEGNAMERIA PERUGINI S.N.C.</t>
  </si>
  <si>
    <t>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</si>
  <si>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</si>
  <si>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LISCI ROBERTO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</si>
  <si>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</si>
  <si>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E000067190</t>
  </si>
  <si>
    <t>E000033389</t>
  </si>
  <si>
    <t>E000033383</t>
  </si>
  <si>
    <t>E000033385</t>
  </si>
  <si>
    <t>E000033382</t>
  </si>
  <si>
    <t>E000033381</t>
  </si>
  <si>
    <t>E000033388</t>
  </si>
  <si>
    <t>E000033384</t>
  </si>
  <si>
    <t>CONGREGAZIONE SORELLE DEI POVERI DI S.CATERINA DA SIENA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</si>
  <si>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</si>
  <si>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E000095982</t>
  </si>
  <si>
    <t>E000063742</t>
  </si>
  <si>
    <t>E000067232</t>
  </si>
  <si>
    <t>E000076847</t>
  </si>
  <si>
    <t>E000077929</t>
  </si>
  <si>
    <t>E000080903</t>
  </si>
  <si>
    <t>RIDOLFI STEFANO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</si>
  <si>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</si>
  <si>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</si>
  <si>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A.N.U.S.C.A. S.R.L.</t>
  </si>
  <si>
    <t>465E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</si>
  <si>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</si>
  <si>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I-Contact Srl</t>
  </si>
  <si>
    <t>FATTPA 7_17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</si>
  <si>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</si>
  <si>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E000092108</t>
  </si>
  <si>
    <t>E000092107</t>
  </si>
  <si>
    <t>E000098061</t>
  </si>
  <si>
    <t>POLIS SOC. COOP. SOCIALE</t>
  </si>
  <si>
    <t>245/PS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</si>
  <si>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</si>
  <si>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397/PS</t>
  </si>
  <si>
    <t>5/PA</t>
  </si>
  <si>
    <t>443/PS</t>
  </si>
  <si>
    <t>549/PS</t>
  </si>
  <si>
    <t>552/PS</t>
  </si>
  <si>
    <t>BAGLI ORNELLA</t>
  </si>
  <si>
    <t>TIPOGRAFIA TUDERTE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</si>
  <si>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</si>
  <si>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ROSATI COSTRUZIONI DI ROSATI ALFREDO E C.SAS</t>
  </si>
  <si>
    <t>FATTPA 9_17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</si>
  <si>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</si>
  <si>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</si>
  <si>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MAMMOLI EDILIZIA SRL</t>
  </si>
  <si>
    <t>53PA</t>
  </si>
  <si>
    <t>HALLEY INFORMATICA SRL</t>
  </si>
  <si>
    <t>11284/8/10</t>
  </si>
  <si>
    <t>ELETTRICA VALERI UMBRA DI PALMUCCI PATRIZIA</t>
  </si>
  <si>
    <t>FATTPA 21_17</t>
  </si>
  <si>
    <t>COMUNE DI ASSISI</t>
  </si>
  <si>
    <t>42/13/1</t>
  </si>
  <si>
    <t>LAB.LABOR.ANALISI BIOLOGICHE SNC</t>
  </si>
  <si>
    <t>FATTPA 12_17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</si>
  <si>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</si>
  <si>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PIETROLUCCI FRANCESCA</t>
  </si>
  <si>
    <t>FATTPA 2_17</t>
  </si>
  <si>
    <t>848/PS</t>
  </si>
  <si>
    <t>EDILTERMICA CASTRIANNI SRL</t>
  </si>
  <si>
    <t>ANIMAL HOUSE S.A.S DI ROBERTO COFANI E C.</t>
  </si>
  <si>
    <t>46/02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</si>
  <si>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</si>
  <si>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IMPRESA ELETTRICA  VALERI P.I. LANFRANCO</t>
  </si>
  <si>
    <t>41-PA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</si>
  <si>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</si>
  <si>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COGEM SRL</t>
  </si>
  <si>
    <t>FatPAM 93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</si>
  <si>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</si>
  <si>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IAG PROGETTI STUDIO ASSOCIATO</t>
  </si>
  <si>
    <t>SILCA SRL</t>
  </si>
  <si>
    <t>100/1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</si>
  <si>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</si>
  <si>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MOLINARI ROBERTO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</si>
  <si>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</si>
  <si>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24_17</t>
  </si>
  <si>
    <t>FatPAM 95</t>
  </si>
  <si>
    <t>FatPAM 94</t>
  </si>
  <si>
    <t>GEST S.R.L.</t>
  </si>
  <si>
    <t>IT0021702FTV00529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</si>
  <si>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</si>
  <si>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ESTRA ENERGIE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</si>
  <si>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</si>
  <si>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63 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</si>
  <si>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</si>
  <si>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EDIL RESTAURI DI OCCHINI ANGIOLO</t>
  </si>
  <si>
    <t>E11/17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</si>
  <si>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</si>
  <si>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43-PA</t>
  </si>
  <si>
    <t>IRIDE COOPERATIVA SOCIALE A.R.L.</t>
  </si>
  <si>
    <t>CENTRO SPERANZA-CONGR.SUORE ANCELLE AMORE MISERICORD.</t>
  </si>
  <si>
    <t>FATTPA 79_17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</si>
  <si>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</si>
  <si>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28_17</t>
  </si>
  <si>
    <t>ENEL SOLE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</si>
  <si>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</si>
  <si>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997/PS</t>
  </si>
  <si>
    <t>E.G. PNEUMATICI DI GUBBIOTTI EDOARDO</t>
  </si>
  <si>
    <t>FATTPA 8_17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</si>
  <si>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</si>
  <si>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C.I.E.P. SNC DI PIOPPINI E MANCINELLI</t>
  </si>
  <si>
    <t>214/2017</t>
  </si>
  <si>
    <t>C.M.B. SERVICE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</si>
  <si>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</si>
  <si>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2/PA</t>
  </si>
  <si>
    <t>SIR SAFETY SYSTEM S.P.A.</t>
  </si>
  <si>
    <t>607/2017/V2</t>
  </si>
  <si>
    <t>135/13</t>
  </si>
  <si>
    <t>280/13</t>
  </si>
  <si>
    <t>ENEL ENERGIA SPA</t>
  </si>
  <si>
    <t>BALLETTI ANDREA</t>
  </si>
  <si>
    <t>FATTPA 1_17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</si>
  <si>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</si>
  <si>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AUTOFFICINA MECCANICA S.N.C. DI SIMONCINI ROBERTO E 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</si>
  <si>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</si>
  <si>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AGRISTORE DI PIACENTINI MASSIMO</t>
  </si>
  <si>
    <t>03/PA</t>
  </si>
  <si>
    <t>PUNTO COMUNE S.R.L.</t>
  </si>
  <si>
    <t>P7</t>
  </si>
  <si>
    <t>13569/8/10</t>
  </si>
  <si>
    <t>IT0021702FTV00576</t>
  </si>
  <si>
    <t>LUPINI S.R.L.</t>
  </si>
  <si>
    <t>FATTPA 32_17</t>
  </si>
  <si>
    <t>TotalErg S.p.A.</t>
  </si>
  <si>
    <t>I8009971</t>
  </si>
  <si>
    <t>I8007696</t>
  </si>
  <si>
    <t>ECOTECH S.R.L.</t>
  </si>
  <si>
    <t>SOGEM S.R.L.</t>
  </si>
  <si>
    <t>25/PA</t>
  </si>
  <si>
    <t>MASSINELLI  S.R.L</t>
  </si>
  <si>
    <t>289/P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</si>
  <si>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</si>
  <si>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1042/PS</t>
  </si>
  <si>
    <t>S.C.B. SRL</t>
  </si>
  <si>
    <t>249/PA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</si>
  <si>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</si>
  <si>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PERNAZZA GROUP S.R.L.</t>
  </si>
  <si>
    <t>54/PA</t>
  </si>
  <si>
    <t>55/PA</t>
  </si>
  <si>
    <t>53/PA</t>
  </si>
  <si>
    <t>FATTPA 5_17</t>
  </si>
  <si>
    <t>TRE PONTI SOC. COOP. S.R.L.</t>
  </si>
  <si>
    <t>/PA228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</si>
  <si>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</si>
  <si>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PIERINI TIZIANA</t>
  </si>
  <si>
    <t>3/PA</t>
  </si>
  <si>
    <t>IT0021702FTV00557</t>
  </si>
  <si>
    <t>BOCCALI S.R.L.</t>
  </si>
  <si>
    <t>AZIENDA OSPEDALIERA DI PERUGIA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</si>
  <si>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</si>
  <si>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/PA212</t>
  </si>
  <si>
    <t>IT0021702FTV00528</t>
  </si>
  <si>
    <t>MONIQUE DI PAOLUCCI MONICA</t>
  </si>
  <si>
    <t>P729</t>
  </si>
  <si>
    <t>ORGANTINI 1896 SNC DI ORGANTINI MARIO &amp; C.</t>
  </si>
  <si>
    <t>74/PA</t>
  </si>
  <si>
    <t>CENTRO STUDI ENTI LOCALI</t>
  </si>
  <si>
    <t>734/AE</t>
  </si>
  <si>
    <t>42/2013</t>
  </si>
  <si>
    <t>EDILDOMUS FEDERICI DI FEDERICI ROBERTO &amp; C. S.A.S.</t>
  </si>
  <si>
    <t>12/PA</t>
  </si>
  <si>
    <t>/PA11</t>
  </si>
  <si>
    <t>KACZMAREK ANDREA</t>
  </si>
  <si>
    <t>FATTPA 27_17</t>
  </si>
  <si>
    <t>AGENZIA PIU' S.P.A.</t>
  </si>
  <si>
    <t>CARTOLIBRERIA IL CASTELLO DI FABBRIZI FABIANA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</si>
  <si>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</si>
  <si>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4/PA</t>
  </si>
  <si>
    <t>GIOLICART 4.0 SRL</t>
  </si>
  <si>
    <t>31/PA</t>
  </si>
  <si>
    <t>59/02</t>
  </si>
  <si>
    <t>I7456642</t>
  </si>
  <si>
    <t>I7462647</t>
  </si>
  <si>
    <t>14111/8/10</t>
  </si>
  <si>
    <t>120/1</t>
  </si>
  <si>
    <t>IT0021702FTV00575</t>
  </si>
  <si>
    <t>995/PS</t>
  </si>
  <si>
    <t>996/PS</t>
  </si>
  <si>
    <t>998/PS</t>
  </si>
  <si>
    <t>994/PS</t>
  </si>
  <si>
    <t>14344/8/10</t>
  </si>
  <si>
    <t>IT0021702FTV00630</t>
  </si>
  <si>
    <t>IT0021702FTV00629</t>
  </si>
  <si>
    <t>49/PA</t>
  </si>
  <si>
    <t>I.P.I.C. SERVIZI AMBIENTALI S.R.L.</t>
  </si>
  <si>
    <t>UNIMATICA S.P.A.</t>
  </si>
  <si>
    <t>634 PA</t>
  </si>
  <si>
    <t>ATER UMBRIA</t>
  </si>
  <si>
    <t>154/11</t>
  </si>
  <si>
    <t>IT0021702FTV00667</t>
  </si>
  <si>
    <t>IT0021702FTV00614</t>
  </si>
  <si>
    <t>MERLETTI GIOVANNI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</si>
  <si>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</si>
  <si>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167/11</t>
  </si>
  <si>
    <t>FATTPA 11_17</t>
  </si>
  <si>
    <t>1174/PS</t>
  </si>
  <si>
    <t>IT0021702FTV00718</t>
  </si>
  <si>
    <t>IT0021702FTV00681</t>
  </si>
  <si>
    <t>IT0021702FTV00680</t>
  </si>
  <si>
    <t>I8008885</t>
  </si>
  <si>
    <t>I8009522</t>
  </si>
  <si>
    <t>TIM  S.p.A. Direzione e coordinamento Vivendi SA</t>
  </si>
  <si>
    <t>7X05050518</t>
  </si>
  <si>
    <t>1043/PS</t>
  </si>
  <si>
    <t>1044/PS</t>
  </si>
  <si>
    <t>1040/PS</t>
  </si>
  <si>
    <t>1039/PS</t>
  </si>
  <si>
    <t>1124/PS</t>
  </si>
  <si>
    <t>1041/PS</t>
  </si>
  <si>
    <t>8M00547604</t>
  </si>
  <si>
    <t>8M00545886</t>
  </si>
  <si>
    <t>8M00546996</t>
  </si>
  <si>
    <t>8M00546557</t>
  </si>
  <si>
    <t>8M00548021</t>
  </si>
  <si>
    <t>8M00546101</t>
  </si>
  <si>
    <t>8M00548274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</si>
  <si>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</si>
  <si>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RISULTATO 1o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</si>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</sst>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  <cellStyle name="Titolo 1" xfId="21"/>
    <cellStyle name="Titolo 2" xfId="22"/>
    <cellStyle name="Titolo 3" xfId="23"/>
    <cellStyle name="Titolo 4" xfId="24"/>
    <cellStyle name="Valore valido" xfId="25"/>
    <cellStyle name="Valore non valido" xfId="26"/>
    <cellStyle name="Neutrale" xfId="27"/>
    <cellStyle name="Input" xfId="28"/>
    <cellStyle name="Output" xfId="29"/>
    <cellStyle name="Calcolo" xfId="30"/>
    <cellStyle name="Cella collegata" xfId="31"/>
    <cellStyle name="Cella da controllare" xfId="32"/>
    <cellStyle name="Testo avviso" xfId="33"/>
    <cellStyle name="Nota" xfId="34"/>
    <cellStyle name="Testo descrittivo" xfId="35"/>
    <cellStyle name="Totale" xfId="36"/>
    <cellStyle name="Colore 1" xfId="37"/>
    <cellStyle name="20% - Colore 1" xfId="38"/>
    <cellStyle name="40% - Colore 1" xfId="39"/>
    <cellStyle name="60% - Colore 1" xfId="40"/>
    <cellStyle name="Colore 2" xfId="41"/>
    <cellStyle name="20% - Colore 2" xfId="42"/>
    <cellStyle name="40% - Colore 2" xfId="43"/>
    <cellStyle name="60% - Colore 2" xfId="44"/>
    <cellStyle name="Colore 3" xfId="45"/>
    <cellStyle name="20% - Colore 3" xfId="46"/>
    <cellStyle name="40% - Colore 3" xfId="47"/>
    <cellStyle name="60% - Colore 3" xfId="48"/>
    <cellStyle name="Colore 4" xfId="49"/>
    <cellStyle name="20% - Colore 4" xfId="50"/>
    <cellStyle name="40% - Colore 4" xfId="51"/>
    <cellStyle name="60% - Colore 4" xfId="52"/>
    <cellStyle name="Colore 5" xfId="53"/>
    <cellStyle name="20% - Colore 5" xfId="54"/>
    <cellStyle name="40% - Colore 5" xfId="55"/>
    <cellStyle name="60% - Colore 5" xfId="56"/>
    <cellStyle name="Colore 6" xfId="57"/>
    <cellStyle name="20% - Colore 6" xfId="58"/>
    <cellStyle name="40% - Colore 6" xfId="59"/>
    <cellStyle name="60% - Colore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7"/>
  <sheetViews>
    <sheetView tabSelected="1" workbookViewId="0" topLeftCell="A689">
      <selection activeCell="A134" sqref="A134"/>
    </sheetView>
  </sheetViews>
  <sheetFormatPr defaultColWidth="9.140625" defaultRowHeight="15"/>
  <cols>
    <col min="1" max="1" width="28.421875" style="6" customWidth="1"/>
    <col min="2" max="2" width="9.00390625" style="0" bestFit="1" customWidth="1"/>
    <col min="3" max="3" width="12.7109375" style="0" bestFit="1" customWidth="1"/>
    <col min="4" max="4" width="20.28125" style="0" bestFit="1" customWidth="1"/>
    <col min="5" max="5" width="11.140625" style="0" bestFit="1" customWidth="1"/>
    <col min="6" max="6" width="9.00390625" style="0" bestFit="1" customWidth="1"/>
    <col min="7" max="7" width="14.7109375" style="0" bestFit="1" customWidth="1"/>
    <col min="8" max="8" width="12.8515625" style="0" bestFit="1" customWidth="1"/>
    <col min="10" max="10" width="10.140625" style="0" bestFit="1" customWidth="1"/>
    <col min="11" max="11" width="9.00390625" style="0" bestFit="1" customWidth="1"/>
    <col min="12" max="12" width="10.140625" style="0" bestFit="1" customWidth="1"/>
    <col min="13" max="13" width="9.00390625" style="0" bestFit="1" customWidth="1"/>
    <col min="14" max="14" width="12.8515625" style="0" bestFit="1" customWidth="1"/>
  </cols>
  <sheetData>
    <row r="1" spans="1:15" ht="15">
      <c r="A1" s="6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 ht="15">
      <c r="A2" s="6" t="s">
        <v>15</v>
      </c>
      <c r="B2">
        <v>134</v>
      </c>
      <c r="C2" s="2">
        <v>43145</v>
      </c>
      <c r="D2" t="str">
        <f>"1250020150000137200"</f>
        <v>1250020150000137200</v>
      </c>
      <c r="E2" s="2">
        <v>42137</v>
      </c>
      <c r="F2">
        <v>0</v>
      </c>
      <c r="G2" s="2">
        <v>43152</v>
      </c>
      <c r="H2" s="2">
        <v>42167</v>
      </c>
      <c r="I2" t="s">
        <v>16</v>
      </c>
      <c r="J2">
        <v>116.56</v>
      </c>
      <c r="K2">
        <v>10.69</v>
      </c>
      <c r="L2">
        <v>105.87</v>
      </c>
      <c r="M2">
        <v>985</v>
      </c>
      <c r="N2" s="3">
        <v>104281.95</v>
      </c>
      <c r="O2" s="1" t="s">
        <v>17</v>
      </c>
    </row>
    <row r="3" spans="1:15" ht="15">
      <c r="A3" s="6" t="s">
        <v>15</v>
      </c>
      <c r="B3">
        <v>153</v>
      </c>
      <c r="C3" s="2">
        <v>43147</v>
      </c>
      <c r="D3" t="str">
        <f>"1250020150000137100"</f>
        <v>1250020150000137100</v>
      </c>
      <c r="E3" s="2">
        <v>42137</v>
      </c>
      <c r="F3">
        <v>0</v>
      </c>
      <c r="G3" s="2">
        <v>43152</v>
      </c>
      <c r="H3" s="2">
        <v>42167</v>
      </c>
      <c r="I3" t="s">
        <v>16</v>
      </c>
      <c r="J3">
        <v>672.05</v>
      </c>
      <c r="K3">
        <v>61.1</v>
      </c>
      <c r="L3">
        <v>610.95</v>
      </c>
      <c r="M3">
        <v>985</v>
      </c>
      <c r="N3" s="3">
        <v>601785.75</v>
      </c>
      <c r="O3" s="1" t="s">
        <v>17</v>
      </c>
    </row>
    <row r="4" spans="1:15" ht="15">
      <c r="A4" s="6" t="s">
        <v>15</v>
      </c>
      <c r="B4">
        <v>135</v>
      </c>
      <c r="C4" s="2">
        <v>43145</v>
      </c>
      <c r="D4" t="str">
        <f>"1250020150000464000"</f>
        <v>1250020150000464000</v>
      </c>
      <c r="E4" s="2">
        <v>42191</v>
      </c>
      <c r="F4">
        <v>0</v>
      </c>
      <c r="G4" s="2">
        <v>43152</v>
      </c>
      <c r="H4" s="2">
        <v>42216</v>
      </c>
      <c r="I4" t="s">
        <v>16</v>
      </c>
      <c r="J4">
        <v>96.53</v>
      </c>
      <c r="K4">
        <v>8.78</v>
      </c>
      <c r="L4">
        <v>87.75</v>
      </c>
      <c r="M4">
        <v>936</v>
      </c>
      <c r="N4" s="3">
        <v>82134</v>
      </c>
      <c r="O4" s="1" t="s">
        <v>17</v>
      </c>
    </row>
    <row r="5" spans="1:15" ht="15">
      <c r="A5" s="6" t="s">
        <v>15</v>
      </c>
      <c r="B5">
        <v>154</v>
      </c>
      <c r="C5" s="2">
        <v>43147</v>
      </c>
      <c r="D5" t="str">
        <f>"1250020150000464800"</f>
        <v>1250020150000464800</v>
      </c>
      <c r="E5" s="2">
        <v>42191</v>
      </c>
      <c r="F5">
        <v>0</v>
      </c>
      <c r="G5" s="2">
        <v>43152</v>
      </c>
      <c r="H5" s="2">
        <v>42216</v>
      </c>
      <c r="I5" t="s">
        <v>16</v>
      </c>
      <c r="J5">
        <v>49.58</v>
      </c>
      <c r="K5">
        <v>4.51</v>
      </c>
      <c r="L5">
        <v>45.07</v>
      </c>
      <c r="M5">
        <v>936</v>
      </c>
      <c r="N5" s="3">
        <v>42185.52</v>
      </c>
      <c r="O5" s="1" t="s">
        <v>17</v>
      </c>
    </row>
    <row r="6" spans="1:15" ht="15">
      <c r="A6" s="6" t="s">
        <v>15</v>
      </c>
      <c r="B6">
        <v>134</v>
      </c>
      <c r="C6" s="2">
        <v>43145</v>
      </c>
      <c r="D6" t="str">
        <f>"1250020150000464100"</f>
        <v>1250020150000464100</v>
      </c>
      <c r="E6" s="2">
        <v>42191</v>
      </c>
      <c r="F6">
        <v>0</v>
      </c>
      <c r="G6" s="2">
        <v>43152</v>
      </c>
      <c r="H6" s="2">
        <v>42216</v>
      </c>
      <c r="I6" t="s">
        <v>16</v>
      </c>
      <c r="J6">
        <v>50.21</v>
      </c>
      <c r="K6">
        <v>4.57</v>
      </c>
      <c r="L6">
        <v>45.64</v>
      </c>
      <c r="M6">
        <v>936</v>
      </c>
      <c r="N6" s="3">
        <v>42719.04</v>
      </c>
      <c r="O6" s="1" t="s">
        <v>17</v>
      </c>
    </row>
    <row r="7" spans="1:15" ht="15">
      <c r="A7" s="6" t="s">
        <v>15</v>
      </c>
      <c r="B7">
        <v>134</v>
      </c>
      <c r="C7" s="2">
        <v>43145</v>
      </c>
      <c r="D7" t="str">
        <f>"1250020150000464400"</f>
        <v>1250020150000464400</v>
      </c>
      <c r="E7" s="2">
        <v>42191</v>
      </c>
      <c r="F7">
        <v>0</v>
      </c>
      <c r="G7" s="2">
        <v>43152</v>
      </c>
      <c r="H7" s="2">
        <v>42216</v>
      </c>
      <c r="I7" t="s">
        <v>16</v>
      </c>
      <c r="J7">
        <v>108.74</v>
      </c>
      <c r="K7">
        <v>9.88</v>
      </c>
      <c r="L7">
        <v>98.86</v>
      </c>
      <c r="M7">
        <v>936</v>
      </c>
      <c r="N7" s="3">
        <v>92532.96</v>
      </c>
      <c r="O7" s="1" t="s">
        <v>17</v>
      </c>
    </row>
    <row r="8" spans="1:15" ht="15">
      <c r="A8" s="6" t="s">
        <v>15</v>
      </c>
      <c r="B8">
        <v>153</v>
      </c>
      <c r="C8" s="2">
        <v>43147</v>
      </c>
      <c r="D8" t="str">
        <f>"1250020150000463400"</f>
        <v>1250020150000463400</v>
      </c>
      <c r="E8" s="2">
        <v>42191</v>
      </c>
      <c r="F8">
        <v>0</v>
      </c>
      <c r="G8" s="2">
        <v>43152</v>
      </c>
      <c r="H8" s="2">
        <v>42216</v>
      </c>
      <c r="I8" t="s">
        <v>16</v>
      </c>
      <c r="J8">
        <v>23.25</v>
      </c>
      <c r="K8">
        <v>2.11</v>
      </c>
      <c r="L8">
        <v>21.14</v>
      </c>
      <c r="M8">
        <v>936</v>
      </c>
      <c r="N8" s="3">
        <v>19787.04</v>
      </c>
      <c r="O8" s="1" t="s">
        <v>17</v>
      </c>
    </row>
    <row r="9" spans="1:15" ht="15">
      <c r="A9" s="6" t="s">
        <v>15</v>
      </c>
      <c r="B9">
        <v>134</v>
      </c>
      <c r="C9" s="2">
        <v>43145</v>
      </c>
      <c r="D9" t="str">
        <f>"1250020150000463600"</f>
        <v>1250020150000463600</v>
      </c>
      <c r="E9" s="2">
        <v>42191</v>
      </c>
      <c r="F9">
        <v>0</v>
      </c>
      <c r="G9" s="2">
        <v>43152</v>
      </c>
      <c r="H9" s="2">
        <v>42216</v>
      </c>
      <c r="I9" t="s">
        <v>16</v>
      </c>
      <c r="J9">
        <v>32.91</v>
      </c>
      <c r="K9">
        <v>2.99</v>
      </c>
      <c r="L9">
        <v>29.92</v>
      </c>
      <c r="M9">
        <v>936</v>
      </c>
      <c r="N9" s="3">
        <v>28005.12</v>
      </c>
      <c r="O9" s="1" t="s">
        <v>17</v>
      </c>
    </row>
    <row r="10" spans="1:15" ht="15">
      <c r="A10" s="6" t="s">
        <v>15</v>
      </c>
      <c r="B10">
        <v>154</v>
      </c>
      <c r="C10" s="2">
        <v>43147</v>
      </c>
      <c r="D10" t="str">
        <f>"1250020150000464600"</f>
        <v>1250020150000464600</v>
      </c>
      <c r="E10" s="2">
        <v>42191</v>
      </c>
      <c r="F10">
        <v>0</v>
      </c>
      <c r="G10" s="2">
        <v>43152</v>
      </c>
      <c r="H10" s="2">
        <v>42216</v>
      </c>
      <c r="I10" t="s">
        <v>16</v>
      </c>
      <c r="J10">
        <v>36.24</v>
      </c>
      <c r="K10">
        <v>3.29</v>
      </c>
      <c r="L10">
        <v>32.95</v>
      </c>
      <c r="M10">
        <v>936</v>
      </c>
      <c r="N10" s="3">
        <v>30841.2</v>
      </c>
      <c r="O10" s="1" t="s">
        <v>17</v>
      </c>
    </row>
    <row r="11" spans="1:15" ht="15">
      <c r="A11" s="6" t="s">
        <v>15</v>
      </c>
      <c r="B11">
        <v>134</v>
      </c>
      <c r="C11" s="2">
        <v>43145</v>
      </c>
      <c r="D11" t="str">
        <f>"1250020150000463900"</f>
        <v>1250020150000463900</v>
      </c>
      <c r="E11" s="2">
        <v>42191</v>
      </c>
      <c r="F11">
        <v>0</v>
      </c>
      <c r="G11" s="2">
        <v>43152</v>
      </c>
      <c r="H11" s="2">
        <v>42216</v>
      </c>
      <c r="I11" t="s">
        <v>16</v>
      </c>
      <c r="J11">
        <v>157.84</v>
      </c>
      <c r="K11">
        <v>14.35</v>
      </c>
      <c r="L11">
        <v>143.49</v>
      </c>
      <c r="M11">
        <v>936</v>
      </c>
      <c r="N11" s="3">
        <v>134306.64</v>
      </c>
      <c r="O11" s="1" t="s">
        <v>17</v>
      </c>
    </row>
    <row r="12" spans="1:15" ht="15">
      <c r="A12" s="6" t="s">
        <v>15</v>
      </c>
      <c r="B12">
        <v>134</v>
      </c>
      <c r="C12" s="2">
        <v>43145</v>
      </c>
      <c r="D12" t="str">
        <f>"1250020150000464300"</f>
        <v>1250020150000464300</v>
      </c>
      <c r="E12" s="2">
        <v>42191</v>
      </c>
      <c r="F12">
        <v>0</v>
      </c>
      <c r="G12" s="2">
        <v>43152</v>
      </c>
      <c r="H12" s="2">
        <v>42216</v>
      </c>
      <c r="I12" t="s">
        <v>16</v>
      </c>
      <c r="J12">
        <v>32.92</v>
      </c>
      <c r="K12">
        <v>3</v>
      </c>
      <c r="L12">
        <v>29.92</v>
      </c>
      <c r="M12">
        <v>936</v>
      </c>
      <c r="N12" s="3">
        <v>28005.12</v>
      </c>
      <c r="O12" s="1" t="s">
        <v>17</v>
      </c>
    </row>
    <row r="13" spans="1:15" ht="15">
      <c r="A13" s="6" t="s">
        <v>15</v>
      </c>
      <c r="B13">
        <v>136</v>
      </c>
      <c r="C13" s="2">
        <v>43145</v>
      </c>
      <c r="D13" t="str">
        <f>"1250020150000465000"</f>
        <v>1250020150000465000</v>
      </c>
      <c r="E13" s="2">
        <v>42191</v>
      </c>
      <c r="F13">
        <v>0</v>
      </c>
      <c r="G13" s="2">
        <v>43152</v>
      </c>
      <c r="H13" s="2">
        <v>42216</v>
      </c>
      <c r="I13" t="s">
        <v>16</v>
      </c>
      <c r="J13">
        <v>16.3</v>
      </c>
      <c r="K13">
        <v>1.48</v>
      </c>
      <c r="L13">
        <v>14.82</v>
      </c>
      <c r="M13">
        <v>936</v>
      </c>
      <c r="N13" s="3">
        <v>13871.52</v>
      </c>
      <c r="O13" s="1" t="s">
        <v>17</v>
      </c>
    </row>
    <row r="14" spans="1:15" ht="15">
      <c r="A14" s="6" t="s">
        <v>15</v>
      </c>
      <c r="B14">
        <v>154</v>
      </c>
      <c r="C14" s="2">
        <v>43147</v>
      </c>
      <c r="D14" t="str">
        <f>"1250020150000464500"</f>
        <v>1250020150000464500</v>
      </c>
      <c r="E14" s="2">
        <v>42191</v>
      </c>
      <c r="F14">
        <v>0</v>
      </c>
      <c r="G14" s="2">
        <v>43152</v>
      </c>
      <c r="H14" s="2">
        <v>42216</v>
      </c>
      <c r="I14" t="s">
        <v>16</v>
      </c>
      <c r="J14">
        <v>30.24</v>
      </c>
      <c r="K14">
        <v>2.16</v>
      </c>
      <c r="L14">
        <v>28.08</v>
      </c>
      <c r="M14">
        <v>936</v>
      </c>
      <c r="N14" s="3">
        <v>26282.88</v>
      </c>
      <c r="O14" s="1" t="s">
        <v>17</v>
      </c>
    </row>
    <row r="15" spans="1:15" ht="15">
      <c r="A15" s="6" t="s">
        <v>15</v>
      </c>
      <c r="B15">
        <v>154</v>
      </c>
      <c r="C15" s="2">
        <v>43147</v>
      </c>
      <c r="D15" t="str">
        <f>"1250020150000463700"</f>
        <v>1250020150000463700</v>
      </c>
      <c r="E15" s="2">
        <v>42191</v>
      </c>
      <c r="F15">
        <v>0</v>
      </c>
      <c r="G15" s="2">
        <v>43152</v>
      </c>
      <c r="H15" s="2">
        <v>42216</v>
      </c>
      <c r="I15" t="s">
        <v>16</v>
      </c>
      <c r="J15">
        <v>241.67</v>
      </c>
      <c r="K15">
        <v>23.74</v>
      </c>
      <c r="L15">
        <v>217.93</v>
      </c>
      <c r="M15">
        <v>936</v>
      </c>
      <c r="N15" s="3">
        <v>203982.48</v>
      </c>
      <c r="O15" s="1" t="s">
        <v>17</v>
      </c>
    </row>
    <row r="16" spans="1:15" ht="15">
      <c r="A16" s="6" t="s">
        <v>15</v>
      </c>
      <c r="B16">
        <v>134</v>
      </c>
      <c r="C16" s="2">
        <v>43145</v>
      </c>
      <c r="D16" t="str">
        <f>"1250020150000464200"</f>
        <v>1250020150000464200</v>
      </c>
      <c r="E16" s="2">
        <v>42191</v>
      </c>
      <c r="F16">
        <v>0</v>
      </c>
      <c r="G16" s="2">
        <v>43152</v>
      </c>
      <c r="H16" s="2">
        <v>42216</v>
      </c>
      <c r="I16" t="s">
        <v>16</v>
      </c>
      <c r="J16">
        <v>43.91</v>
      </c>
      <c r="K16">
        <v>4</v>
      </c>
      <c r="L16">
        <v>39.91</v>
      </c>
      <c r="M16">
        <v>936</v>
      </c>
      <c r="N16" s="3">
        <v>37355.76</v>
      </c>
      <c r="O16" s="1" t="s">
        <v>17</v>
      </c>
    </row>
    <row r="17" spans="1:15" ht="15">
      <c r="A17" s="6" t="s">
        <v>15</v>
      </c>
      <c r="B17">
        <v>135</v>
      </c>
      <c r="C17" s="2">
        <v>43145</v>
      </c>
      <c r="D17" t="str">
        <f>"1250020150000465000"</f>
        <v>1250020150000465000</v>
      </c>
      <c r="E17" s="2">
        <v>42191</v>
      </c>
      <c r="F17">
        <v>0</v>
      </c>
      <c r="G17" s="2">
        <v>43152</v>
      </c>
      <c r="H17" s="2">
        <v>42216</v>
      </c>
      <c r="I17" t="s">
        <v>16</v>
      </c>
      <c r="J17">
        <v>203.47</v>
      </c>
      <c r="K17">
        <v>18.5</v>
      </c>
      <c r="L17">
        <v>184.97</v>
      </c>
      <c r="M17">
        <v>936</v>
      </c>
      <c r="N17" s="3">
        <v>173131.92</v>
      </c>
      <c r="O17" s="1" t="s">
        <v>17</v>
      </c>
    </row>
    <row r="18" spans="1:15" ht="15">
      <c r="A18" s="6" t="s">
        <v>15</v>
      </c>
      <c r="B18">
        <v>154</v>
      </c>
      <c r="C18" s="2">
        <v>43147</v>
      </c>
      <c r="D18" t="str">
        <f>"1250020150000463800"</f>
        <v>1250020150000463800</v>
      </c>
      <c r="E18" s="2">
        <v>42191</v>
      </c>
      <c r="F18">
        <v>0</v>
      </c>
      <c r="G18" s="2">
        <v>43152</v>
      </c>
      <c r="H18" s="2">
        <v>42216</v>
      </c>
      <c r="I18" t="s">
        <v>16</v>
      </c>
      <c r="J18">
        <v>33.22</v>
      </c>
      <c r="K18">
        <v>3.02</v>
      </c>
      <c r="L18">
        <v>30.2</v>
      </c>
      <c r="M18">
        <v>936</v>
      </c>
      <c r="N18" s="3">
        <v>28267.2</v>
      </c>
      <c r="O18" s="1" t="s">
        <v>17</v>
      </c>
    </row>
    <row r="19" spans="1:15" ht="15">
      <c r="A19" s="6" t="s">
        <v>15</v>
      </c>
      <c r="B19">
        <v>134</v>
      </c>
      <c r="C19" s="2">
        <v>43145</v>
      </c>
      <c r="D19" t="str">
        <f>"1250020150000463500"</f>
        <v>1250020150000463500</v>
      </c>
      <c r="E19" s="2">
        <v>42191</v>
      </c>
      <c r="F19">
        <v>0</v>
      </c>
      <c r="G19" s="2">
        <v>43152</v>
      </c>
      <c r="H19" s="2">
        <v>42216</v>
      </c>
      <c r="I19" t="s">
        <v>16</v>
      </c>
      <c r="J19">
        <v>78.69</v>
      </c>
      <c r="K19">
        <v>7.15</v>
      </c>
      <c r="L19">
        <v>71.54</v>
      </c>
      <c r="M19">
        <v>936</v>
      </c>
      <c r="N19" s="3">
        <v>66961.44</v>
      </c>
      <c r="O19" s="1" t="s">
        <v>17</v>
      </c>
    </row>
    <row r="20" spans="1:15" ht="15">
      <c r="A20" s="6" t="s">
        <v>15</v>
      </c>
      <c r="B20">
        <v>134</v>
      </c>
      <c r="C20" s="2">
        <v>43145</v>
      </c>
      <c r="D20" t="str">
        <f>"1250020150000465100"</f>
        <v>1250020150000465100</v>
      </c>
      <c r="E20" s="2">
        <v>42191</v>
      </c>
      <c r="F20">
        <v>0</v>
      </c>
      <c r="G20" s="2">
        <v>43152</v>
      </c>
      <c r="H20" s="2">
        <v>42216</v>
      </c>
      <c r="I20" t="s">
        <v>16</v>
      </c>
      <c r="J20">
        <v>33.66</v>
      </c>
      <c r="K20">
        <v>2.46</v>
      </c>
      <c r="L20">
        <v>31.2</v>
      </c>
      <c r="M20">
        <v>936</v>
      </c>
      <c r="N20" s="3">
        <v>29203.2</v>
      </c>
      <c r="O20" s="1" t="s">
        <v>17</v>
      </c>
    </row>
    <row r="21" spans="1:15" ht="15">
      <c r="A21" s="6" t="s">
        <v>15</v>
      </c>
      <c r="B21">
        <v>153</v>
      </c>
      <c r="C21" s="2">
        <v>43147</v>
      </c>
      <c r="D21" t="str">
        <f>"1250020150000463300"</f>
        <v>1250020150000463300</v>
      </c>
      <c r="E21" s="2">
        <v>42191</v>
      </c>
      <c r="F21">
        <v>0</v>
      </c>
      <c r="G21" s="2">
        <v>43152</v>
      </c>
      <c r="H21" s="2">
        <v>42216</v>
      </c>
      <c r="I21" t="s">
        <v>16</v>
      </c>
      <c r="J21">
        <v>117.52</v>
      </c>
      <c r="K21">
        <v>10.68</v>
      </c>
      <c r="L21">
        <v>106.84</v>
      </c>
      <c r="M21">
        <v>936</v>
      </c>
      <c r="N21" s="3">
        <v>100002.24</v>
      </c>
      <c r="O21" s="1" t="s">
        <v>17</v>
      </c>
    </row>
    <row r="22" spans="1:15" ht="15">
      <c r="A22" s="6" t="s">
        <v>15</v>
      </c>
      <c r="B22">
        <v>154</v>
      </c>
      <c r="C22" s="2">
        <v>43147</v>
      </c>
      <c r="D22" t="str">
        <f>"1250020150000464700"</f>
        <v>1250020150000464700</v>
      </c>
      <c r="E22" s="2">
        <v>42191</v>
      </c>
      <c r="F22">
        <v>0</v>
      </c>
      <c r="G22" s="2">
        <v>43152</v>
      </c>
      <c r="H22" s="2">
        <v>42216</v>
      </c>
      <c r="I22" t="s">
        <v>16</v>
      </c>
      <c r="J22">
        <v>36.26</v>
      </c>
      <c r="K22">
        <v>3.3</v>
      </c>
      <c r="L22">
        <v>32.96</v>
      </c>
      <c r="M22">
        <v>936</v>
      </c>
      <c r="N22" s="3">
        <v>30850.56</v>
      </c>
      <c r="O22" s="1" t="s">
        <v>17</v>
      </c>
    </row>
    <row r="23" spans="1:15" ht="15">
      <c r="A23" s="6" t="s">
        <v>15</v>
      </c>
      <c r="B23">
        <v>134</v>
      </c>
      <c r="C23" s="2">
        <v>43145</v>
      </c>
      <c r="D23" t="str">
        <f>"1250020150000463000"</f>
        <v>1250020150000463000</v>
      </c>
      <c r="E23" s="2">
        <v>42191</v>
      </c>
      <c r="F23">
        <v>0</v>
      </c>
      <c r="G23" s="2">
        <v>43152</v>
      </c>
      <c r="H23" s="2">
        <v>42216</v>
      </c>
      <c r="I23" t="s">
        <v>16</v>
      </c>
      <c r="J23">
        <v>72.08</v>
      </c>
      <c r="K23">
        <v>6.55</v>
      </c>
      <c r="L23">
        <v>65.53</v>
      </c>
      <c r="M23">
        <v>936</v>
      </c>
      <c r="N23" s="3">
        <v>61336.08</v>
      </c>
      <c r="O23" s="1" t="s">
        <v>17</v>
      </c>
    </row>
    <row r="24" spans="1:15" ht="15">
      <c r="A24" s="6" t="s">
        <v>15</v>
      </c>
      <c r="B24">
        <v>154</v>
      </c>
      <c r="C24" s="2">
        <v>43147</v>
      </c>
      <c r="D24" t="str">
        <f>"1250020150000463400"</f>
        <v>1250020150000463400</v>
      </c>
      <c r="E24" s="2">
        <v>42191</v>
      </c>
      <c r="F24">
        <v>0</v>
      </c>
      <c r="G24" s="2">
        <v>43152</v>
      </c>
      <c r="H24" s="2">
        <v>42216</v>
      </c>
      <c r="I24" t="s">
        <v>16</v>
      </c>
      <c r="J24">
        <v>6.99</v>
      </c>
      <c r="K24">
        <v>0.64</v>
      </c>
      <c r="L24">
        <v>6.35</v>
      </c>
      <c r="M24">
        <v>936</v>
      </c>
      <c r="N24" s="3">
        <v>5943.6</v>
      </c>
      <c r="O24" s="1" t="s">
        <v>17</v>
      </c>
    </row>
    <row r="25" spans="1:15" ht="15">
      <c r="A25" s="6" t="s">
        <v>15</v>
      </c>
      <c r="B25">
        <v>134</v>
      </c>
      <c r="C25" s="2">
        <v>43145</v>
      </c>
      <c r="D25" t="str">
        <f>"1250020150000464900"</f>
        <v>1250020150000464900</v>
      </c>
      <c r="E25" s="2">
        <v>42191</v>
      </c>
      <c r="F25">
        <v>0</v>
      </c>
      <c r="G25" s="2">
        <v>43152</v>
      </c>
      <c r="H25" s="2">
        <v>42225</v>
      </c>
      <c r="I25" t="s">
        <v>18</v>
      </c>
      <c r="J25">
        <v>7.06</v>
      </c>
      <c r="K25">
        <v>0.63</v>
      </c>
      <c r="L25">
        <v>6.43</v>
      </c>
      <c r="M25">
        <v>927</v>
      </c>
      <c r="N25" s="3">
        <v>5960.61</v>
      </c>
      <c r="O25" s="1" t="s">
        <v>17</v>
      </c>
    </row>
    <row r="26" spans="1:15" ht="15">
      <c r="A26" s="6" t="s">
        <v>15</v>
      </c>
      <c r="B26">
        <v>134</v>
      </c>
      <c r="C26" s="2">
        <v>43145</v>
      </c>
      <c r="D26" t="str">
        <f>"1250020150000773200"</f>
        <v>1250020150000773200</v>
      </c>
      <c r="E26" s="2">
        <v>42258</v>
      </c>
      <c r="F26">
        <v>0</v>
      </c>
      <c r="G26" s="2">
        <v>43152</v>
      </c>
      <c r="H26" s="2">
        <v>42285</v>
      </c>
      <c r="I26" t="s">
        <v>16</v>
      </c>
      <c r="J26">
        <v>86.59</v>
      </c>
      <c r="K26">
        <v>7.87</v>
      </c>
      <c r="L26">
        <v>78.72</v>
      </c>
      <c r="M26">
        <v>867</v>
      </c>
      <c r="N26" s="3">
        <v>68250.24</v>
      </c>
      <c r="O26" s="1" t="s">
        <v>17</v>
      </c>
    </row>
    <row r="27" spans="1:15" ht="15">
      <c r="A27" s="6" t="s">
        <v>15</v>
      </c>
      <c r="B27">
        <v>134</v>
      </c>
      <c r="C27" s="2">
        <v>43145</v>
      </c>
      <c r="D27" t="str">
        <f>"1250020150000772900"</f>
        <v>1250020150000772900</v>
      </c>
      <c r="E27" s="2">
        <v>42258</v>
      </c>
      <c r="F27">
        <v>0</v>
      </c>
      <c r="G27" s="2">
        <v>43152</v>
      </c>
      <c r="H27" s="2">
        <v>42285</v>
      </c>
      <c r="I27" t="s">
        <v>16</v>
      </c>
      <c r="J27">
        <v>17.83</v>
      </c>
      <c r="K27">
        <v>1.62</v>
      </c>
      <c r="L27">
        <v>16.21</v>
      </c>
      <c r="M27">
        <v>867</v>
      </c>
      <c r="N27" s="3">
        <v>14054.07</v>
      </c>
      <c r="O27" s="1" t="s">
        <v>17</v>
      </c>
    </row>
    <row r="28" spans="1:15" ht="15">
      <c r="A28" s="6" t="s">
        <v>15</v>
      </c>
      <c r="B28">
        <v>154</v>
      </c>
      <c r="C28" s="2">
        <v>43147</v>
      </c>
      <c r="D28" t="str">
        <f>"1250020150000773500"</f>
        <v>1250020150000773500</v>
      </c>
      <c r="E28" s="2">
        <v>42258</v>
      </c>
      <c r="F28">
        <v>0</v>
      </c>
      <c r="G28" s="2">
        <v>43152</v>
      </c>
      <c r="H28" s="2">
        <v>42285</v>
      </c>
      <c r="I28" t="s">
        <v>16</v>
      </c>
      <c r="J28">
        <v>12.29</v>
      </c>
      <c r="K28">
        <v>1.12</v>
      </c>
      <c r="L28">
        <v>11.17</v>
      </c>
      <c r="M28">
        <v>867</v>
      </c>
      <c r="N28" s="3">
        <v>9684.39</v>
      </c>
      <c r="O28" s="1" t="s">
        <v>17</v>
      </c>
    </row>
    <row r="29" spans="1:15" ht="15">
      <c r="A29" s="6" t="s">
        <v>15</v>
      </c>
      <c r="B29">
        <v>154</v>
      </c>
      <c r="C29" s="2">
        <v>43147</v>
      </c>
      <c r="D29" t="str">
        <f>"1250020150000773700"</f>
        <v>1250020150000773700</v>
      </c>
      <c r="E29" s="2">
        <v>42258</v>
      </c>
      <c r="F29">
        <v>0</v>
      </c>
      <c r="G29" s="2">
        <v>43152</v>
      </c>
      <c r="H29" s="2">
        <v>42285</v>
      </c>
      <c r="I29" t="s">
        <v>16</v>
      </c>
      <c r="J29">
        <v>30.7</v>
      </c>
      <c r="K29">
        <v>2.79</v>
      </c>
      <c r="L29">
        <v>27.91</v>
      </c>
      <c r="M29">
        <v>867</v>
      </c>
      <c r="N29" s="3">
        <v>24197.97</v>
      </c>
      <c r="O29" s="1" t="s">
        <v>17</v>
      </c>
    </row>
    <row r="30" spans="1:15" ht="15">
      <c r="A30" s="6" t="s">
        <v>15</v>
      </c>
      <c r="B30">
        <v>154</v>
      </c>
      <c r="C30" s="2">
        <v>43147</v>
      </c>
      <c r="D30" t="str">
        <f>"1250020150000772500"</f>
        <v>1250020150000772500</v>
      </c>
      <c r="E30" s="2">
        <v>42258</v>
      </c>
      <c r="F30">
        <v>0</v>
      </c>
      <c r="G30" s="2">
        <v>43152</v>
      </c>
      <c r="H30" s="2">
        <v>42285</v>
      </c>
      <c r="I30" t="s">
        <v>16</v>
      </c>
      <c r="J30">
        <v>67.42</v>
      </c>
      <c r="K30">
        <v>6.13</v>
      </c>
      <c r="L30">
        <v>61.29</v>
      </c>
      <c r="M30">
        <v>867</v>
      </c>
      <c r="N30" s="3">
        <v>53138.43</v>
      </c>
      <c r="O30" s="1" t="s">
        <v>17</v>
      </c>
    </row>
    <row r="31" spans="1:15" ht="15">
      <c r="A31" s="6" t="s">
        <v>15</v>
      </c>
      <c r="B31">
        <v>154</v>
      </c>
      <c r="C31" s="2">
        <v>43147</v>
      </c>
      <c r="D31" t="str">
        <f>"1250020150000772100"</f>
        <v>1250020150000772100</v>
      </c>
      <c r="E31" s="2">
        <v>42258</v>
      </c>
      <c r="F31">
        <v>0</v>
      </c>
      <c r="G31" s="2">
        <v>43152</v>
      </c>
      <c r="H31" s="2">
        <v>42285</v>
      </c>
      <c r="I31" t="s">
        <v>16</v>
      </c>
      <c r="J31">
        <v>54.05</v>
      </c>
      <c r="K31">
        <v>4.91</v>
      </c>
      <c r="L31">
        <v>49.14</v>
      </c>
      <c r="M31">
        <v>867</v>
      </c>
      <c r="N31" s="3">
        <v>42604.38</v>
      </c>
      <c r="O31" s="1" t="s">
        <v>17</v>
      </c>
    </row>
    <row r="32" spans="1:15" ht="15">
      <c r="A32" s="6" t="s">
        <v>15</v>
      </c>
      <c r="B32">
        <v>154</v>
      </c>
      <c r="C32" s="2">
        <v>43147</v>
      </c>
      <c r="D32" t="str">
        <f>"1250020150000773300"</f>
        <v>1250020150000773300</v>
      </c>
      <c r="E32" s="2">
        <v>42258</v>
      </c>
      <c r="F32">
        <v>0</v>
      </c>
      <c r="G32" s="2">
        <v>43152</v>
      </c>
      <c r="H32" s="2">
        <v>42285</v>
      </c>
      <c r="I32" t="s">
        <v>16</v>
      </c>
      <c r="J32">
        <v>16.74</v>
      </c>
      <c r="K32">
        <v>1.52</v>
      </c>
      <c r="L32">
        <v>15.22</v>
      </c>
      <c r="M32">
        <v>867</v>
      </c>
      <c r="N32" s="3">
        <v>13195.74</v>
      </c>
      <c r="O32" s="1" t="s">
        <v>17</v>
      </c>
    </row>
    <row r="33" spans="1:15" ht="15">
      <c r="A33" s="6" t="s">
        <v>15</v>
      </c>
      <c r="B33">
        <v>136</v>
      </c>
      <c r="C33" s="2">
        <v>43145</v>
      </c>
      <c r="D33" t="str">
        <f>"1250020150000773900"</f>
        <v>1250020150000773900</v>
      </c>
      <c r="E33" s="2">
        <v>42258</v>
      </c>
      <c r="F33">
        <v>0</v>
      </c>
      <c r="G33" s="2">
        <v>43152</v>
      </c>
      <c r="H33" s="2">
        <v>42285</v>
      </c>
      <c r="I33" t="s">
        <v>16</v>
      </c>
      <c r="J33">
        <v>43.81</v>
      </c>
      <c r="K33">
        <v>3.99</v>
      </c>
      <c r="L33">
        <v>39.82</v>
      </c>
      <c r="M33">
        <v>867</v>
      </c>
      <c r="N33" s="3">
        <v>34523.94</v>
      </c>
      <c r="O33" s="1" t="s">
        <v>17</v>
      </c>
    </row>
    <row r="34" spans="1:15" ht="15">
      <c r="A34" s="6" t="s">
        <v>15</v>
      </c>
      <c r="B34">
        <v>154</v>
      </c>
      <c r="C34" s="2">
        <v>43147</v>
      </c>
      <c r="D34" t="str">
        <f>"1250020150000773600"</f>
        <v>1250020150000773600</v>
      </c>
      <c r="E34" s="2">
        <v>42258</v>
      </c>
      <c r="F34">
        <v>0</v>
      </c>
      <c r="G34" s="2">
        <v>43152</v>
      </c>
      <c r="H34" s="2">
        <v>42285</v>
      </c>
      <c r="I34" t="s">
        <v>16</v>
      </c>
      <c r="J34">
        <v>9.86</v>
      </c>
      <c r="K34">
        <v>0.9</v>
      </c>
      <c r="L34">
        <v>8.96</v>
      </c>
      <c r="M34">
        <v>867</v>
      </c>
      <c r="N34" s="3">
        <v>7768.32</v>
      </c>
      <c r="O34" s="1" t="s">
        <v>17</v>
      </c>
    </row>
    <row r="35" spans="1:15" ht="15">
      <c r="A35" s="6" t="s">
        <v>15</v>
      </c>
      <c r="B35">
        <v>134</v>
      </c>
      <c r="C35" s="2">
        <v>43145</v>
      </c>
      <c r="D35" t="str">
        <f>"1250020150000773100"</f>
        <v>1250020150000773100</v>
      </c>
      <c r="E35" s="2">
        <v>42258</v>
      </c>
      <c r="F35">
        <v>0</v>
      </c>
      <c r="G35" s="2">
        <v>43152</v>
      </c>
      <c r="H35" s="2">
        <v>42285</v>
      </c>
      <c r="I35" t="s">
        <v>16</v>
      </c>
      <c r="J35">
        <v>8.95</v>
      </c>
      <c r="K35">
        <v>0.81</v>
      </c>
      <c r="L35">
        <v>8.14</v>
      </c>
      <c r="M35">
        <v>867</v>
      </c>
      <c r="N35" s="3">
        <v>7057.38</v>
      </c>
      <c r="O35" s="1" t="s">
        <v>17</v>
      </c>
    </row>
    <row r="36" spans="1:15" ht="15">
      <c r="A36" s="6" t="s">
        <v>15</v>
      </c>
      <c r="B36">
        <v>154</v>
      </c>
      <c r="C36" s="2">
        <v>43147</v>
      </c>
      <c r="D36" t="str">
        <f>"1250020150000773400"</f>
        <v>1250020150000773400</v>
      </c>
      <c r="E36" s="2">
        <v>42258</v>
      </c>
      <c r="F36">
        <v>0</v>
      </c>
      <c r="G36" s="2">
        <v>43152</v>
      </c>
      <c r="H36" s="2">
        <v>42285</v>
      </c>
      <c r="I36" t="s">
        <v>16</v>
      </c>
      <c r="J36">
        <v>55.44</v>
      </c>
      <c r="K36">
        <v>5.04</v>
      </c>
      <c r="L36">
        <v>50.4</v>
      </c>
      <c r="M36">
        <v>867</v>
      </c>
      <c r="N36" s="3">
        <v>43696.8</v>
      </c>
      <c r="O36" s="1" t="s">
        <v>17</v>
      </c>
    </row>
    <row r="37" spans="1:15" ht="15">
      <c r="A37" s="6" t="s">
        <v>15</v>
      </c>
      <c r="B37">
        <v>134</v>
      </c>
      <c r="C37" s="2">
        <v>43145</v>
      </c>
      <c r="D37" t="str">
        <f>"1250020150000772400"</f>
        <v>1250020150000772400</v>
      </c>
      <c r="E37" s="2">
        <v>42258</v>
      </c>
      <c r="F37">
        <v>0</v>
      </c>
      <c r="G37" s="2">
        <v>43152</v>
      </c>
      <c r="H37" s="2">
        <v>42285</v>
      </c>
      <c r="I37" t="s">
        <v>16</v>
      </c>
      <c r="J37">
        <v>8.95</v>
      </c>
      <c r="K37">
        <v>0.81</v>
      </c>
      <c r="L37">
        <v>8.14</v>
      </c>
      <c r="M37">
        <v>867</v>
      </c>
      <c r="N37" s="3">
        <v>7057.38</v>
      </c>
      <c r="O37" s="1" t="s">
        <v>17</v>
      </c>
    </row>
    <row r="38" spans="1:15" ht="15">
      <c r="A38" s="6" t="s">
        <v>15</v>
      </c>
      <c r="B38">
        <v>134</v>
      </c>
      <c r="C38" s="2">
        <v>43145</v>
      </c>
      <c r="D38" t="str">
        <f>"1250020150000771800"</f>
        <v>1250020150000771800</v>
      </c>
      <c r="E38" s="2">
        <v>42258</v>
      </c>
      <c r="F38">
        <v>0</v>
      </c>
      <c r="G38" s="2">
        <v>43152</v>
      </c>
      <c r="H38" s="2">
        <v>42285</v>
      </c>
      <c r="I38" t="s">
        <v>16</v>
      </c>
      <c r="J38">
        <v>30.89</v>
      </c>
      <c r="K38">
        <v>2.81</v>
      </c>
      <c r="L38">
        <v>28.08</v>
      </c>
      <c r="M38">
        <v>867</v>
      </c>
      <c r="N38" s="3">
        <v>24345.36</v>
      </c>
      <c r="O38" s="1" t="s">
        <v>17</v>
      </c>
    </row>
    <row r="39" spans="1:15" ht="15">
      <c r="A39" s="6" t="s">
        <v>15</v>
      </c>
      <c r="B39">
        <v>136</v>
      </c>
      <c r="C39" s="2">
        <v>43145</v>
      </c>
      <c r="D39" t="str">
        <f>"1250020150000773800"</f>
        <v>1250020150000773800</v>
      </c>
      <c r="E39" s="2">
        <v>42258</v>
      </c>
      <c r="F39">
        <v>0</v>
      </c>
      <c r="G39" s="2">
        <v>43152</v>
      </c>
      <c r="H39" s="2">
        <v>42285</v>
      </c>
      <c r="I39" t="s">
        <v>16</v>
      </c>
      <c r="J39">
        <v>76.91</v>
      </c>
      <c r="K39">
        <v>6.99</v>
      </c>
      <c r="L39">
        <v>69.92</v>
      </c>
      <c r="M39">
        <v>867</v>
      </c>
      <c r="N39" s="3">
        <v>60620.64</v>
      </c>
      <c r="O39" s="1" t="s">
        <v>17</v>
      </c>
    </row>
    <row r="40" spans="1:15" ht="15">
      <c r="A40" s="6" t="s">
        <v>15</v>
      </c>
      <c r="B40">
        <v>134</v>
      </c>
      <c r="C40" s="2">
        <v>43145</v>
      </c>
      <c r="D40" t="str">
        <f>"1250020150000773000"</f>
        <v>1250020150000773000</v>
      </c>
      <c r="E40" s="2">
        <v>42258</v>
      </c>
      <c r="F40">
        <v>0</v>
      </c>
      <c r="G40" s="2">
        <v>43152</v>
      </c>
      <c r="H40" s="2">
        <v>42285</v>
      </c>
      <c r="I40" t="s">
        <v>16</v>
      </c>
      <c r="J40">
        <v>14.75</v>
      </c>
      <c r="K40">
        <v>1.34</v>
      </c>
      <c r="L40">
        <v>13.41</v>
      </c>
      <c r="M40">
        <v>867</v>
      </c>
      <c r="N40" s="3">
        <v>11626.47</v>
      </c>
      <c r="O40" s="1" t="s">
        <v>17</v>
      </c>
    </row>
    <row r="41" spans="1:15" ht="15">
      <c r="A41" s="6" t="s">
        <v>15</v>
      </c>
      <c r="B41">
        <v>134</v>
      </c>
      <c r="C41" s="2">
        <v>43145</v>
      </c>
      <c r="D41" t="str">
        <f>"1250020150000772700"</f>
        <v>1250020150000772700</v>
      </c>
      <c r="E41" s="2">
        <v>42258</v>
      </c>
      <c r="F41">
        <v>0</v>
      </c>
      <c r="G41" s="2">
        <v>43152</v>
      </c>
      <c r="H41" s="2">
        <v>42285</v>
      </c>
      <c r="I41" t="s">
        <v>16</v>
      </c>
      <c r="J41">
        <v>40.85</v>
      </c>
      <c r="K41">
        <v>3.71</v>
      </c>
      <c r="L41">
        <v>37.14</v>
      </c>
      <c r="M41">
        <v>867</v>
      </c>
      <c r="N41" s="3">
        <v>32200.38</v>
      </c>
      <c r="O41" s="1" t="s">
        <v>17</v>
      </c>
    </row>
    <row r="42" spans="1:15" ht="15">
      <c r="A42" s="6" t="s">
        <v>15</v>
      </c>
      <c r="B42">
        <v>154</v>
      </c>
      <c r="C42" s="2">
        <v>43147</v>
      </c>
      <c r="D42" t="str">
        <f>"1250020150000772200"</f>
        <v>1250020150000772200</v>
      </c>
      <c r="E42" s="2">
        <v>42258</v>
      </c>
      <c r="F42">
        <v>0</v>
      </c>
      <c r="G42" s="2">
        <v>43152</v>
      </c>
      <c r="H42" s="2">
        <v>42285</v>
      </c>
      <c r="I42" t="s">
        <v>16</v>
      </c>
      <c r="J42">
        <v>12.33</v>
      </c>
      <c r="K42">
        <v>1.12</v>
      </c>
      <c r="L42">
        <v>11.21</v>
      </c>
      <c r="M42">
        <v>867</v>
      </c>
      <c r="N42" s="3">
        <v>9719.07</v>
      </c>
      <c r="O42" s="1" t="s">
        <v>17</v>
      </c>
    </row>
    <row r="43" spans="1:15" ht="15">
      <c r="A43" s="6" t="s">
        <v>15</v>
      </c>
      <c r="B43">
        <v>134</v>
      </c>
      <c r="C43" s="2">
        <v>43145</v>
      </c>
      <c r="D43" t="str">
        <f>"1250020150000774000"</f>
        <v>1250020150000774000</v>
      </c>
      <c r="E43" s="2">
        <v>42258</v>
      </c>
      <c r="F43">
        <v>0</v>
      </c>
      <c r="G43" s="2">
        <v>43152</v>
      </c>
      <c r="H43" s="2">
        <v>42285</v>
      </c>
      <c r="I43" t="s">
        <v>16</v>
      </c>
      <c r="J43">
        <v>8.95</v>
      </c>
      <c r="K43">
        <v>0.81</v>
      </c>
      <c r="L43">
        <v>8.14</v>
      </c>
      <c r="M43">
        <v>867</v>
      </c>
      <c r="N43" s="3">
        <v>7057.38</v>
      </c>
      <c r="O43" s="1" t="s">
        <v>17</v>
      </c>
    </row>
    <row r="44" spans="1:15" ht="15">
      <c r="A44" s="6" t="s">
        <v>15</v>
      </c>
      <c r="B44">
        <v>136</v>
      </c>
      <c r="C44" s="2">
        <v>43145</v>
      </c>
      <c r="D44" t="str">
        <f>"1250020150000772800"</f>
        <v>1250020150000772800</v>
      </c>
      <c r="E44" s="2">
        <v>42258</v>
      </c>
      <c r="F44">
        <v>0</v>
      </c>
      <c r="G44" s="2">
        <v>43152</v>
      </c>
      <c r="H44" s="2">
        <v>42285</v>
      </c>
      <c r="I44" t="s">
        <v>16</v>
      </c>
      <c r="J44">
        <v>36.82</v>
      </c>
      <c r="K44">
        <v>3.35</v>
      </c>
      <c r="L44">
        <v>33.47</v>
      </c>
      <c r="M44">
        <v>867</v>
      </c>
      <c r="N44" s="3">
        <v>29018.49</v>
      </c>
      <c r="O44" s="1" t="s">
        <v>17</v>
      </c>
    </row>
    <row r="45" spans="1:15" ht="15">
      <c r="A45" s="6" t="s">
        <v>15</v>
      </c>
      <c r="B45">
        <v>134</v>
      </c>
      <c r="C45" s="2">
        <v>43145</v>
      </c>
      <c r="D45" t="str">
        <f>"1250020150000772300"</f>
        <v>1250020150000772300</v>
      </c>
      <c r="E45" s="2">
        <v>42258</v>
      </c>
      <c r="F45">
        <v>0</v>
      </c>
      <c r="G45" s="2">
        <v>43152</v>
      </c>
      <c r="H45" s="2">
        <v>42285</v>
      </c>
      <c r="I45" t="s">
        <v>16</v>
      </c>
      <c r="J45">
        <v>23.47</v>
      </c>
      <c r="K45">
        <v>2.13</v>
      </c>
      <c r="L45">
        <v>21.34</v>
      </c>
      <c r="M45">
        <v>867</v>
      </c>
      <c r="N45" s="3">
        <v>18501.78</v>
      </c>
      <c r="O45" s="1" t="s">
        <v>17</v>
      </c>
    </row>
    <row r="46" spans="1:15" ht="15">
      <c r="A46" s="6" t="s">
        <v>15</v>
      </c>
      <c r="B46">
        <v>154</v>
      </c>
      <c r="C46" s="2">
        <v>43147</v>
      </c>
      <c r="D46" t="str">
        <f>"1250020150000772600"</f>
        <v>1250020150000772600</v>
      </c>
      <c r="E46" s="2">
        <v>42258</v>
      </c>
      <c r="F46">
        <v>0</v>
      </c>
      <c r="G46" s="2">
        <v>43152</v>
      </c>
      <c r="H46" s="2">
        <v>42285</v>
      </c>
      <c r="I46" t="s">
        <v>16</v>
      </c>
      <c r="J46">
        <v>9.26</v>
      </c>
      <c r="K46">
        <v>0.84</v>
      </c>
      <c r="L46">
        <v>8.42</v>
      </c>
      <c r="M46">
        <v>867</v>
      </c>
      <c r="N46" s="3">
        <v>7300.14</v>
      </c>
      <c r="O46" s="1" t="s">
        <v>17</v>
      </c>
    </row>
    <row r="47" spans="1:15" ht="15">
      <c r="A47" s="6" t="s">
        <v>15</v>
      </c>
      <c r="B47">
        <v>154</v>
      </c>
      <c r="C47" s="2">
        <v>43147</v>
      </c>
      <c r="D47" t="str">
        <f>"1250020150000980300"</f>
        <v>1250020150000980300</v>
      </c>
      <c r="E47" s="2">
        <v>42321</v>
      </c>
      <c r="F47">
        <v>0</v>
      </c>
      <c r="G47" s="2">
        <v>43152</v>
      </c>
      <c r="H47" s="2">
        <v>42348</v>
      </c>
      <c r="I47" t="s">
        <v>16</v>
      </c>
      <c r="J47">
        <v>432.39</v>
      </c>
      <c r="K47">
        <v>44.8</v>
      </c>
      <c r="L47">
        <v>387.59</v>
      </c>
      <c r="M47">
        <v>804</v>
      </c>
      <c r="N47" s="3">
        <v>311622.36</v>
      </c>
      <c r="O47" s="1" t="s">
        <v>17</v>
      </c>
    </row>
    <row r="48" spans="1:15" ht="15">
      <c r="A48" s="6" t="s">
        <v>15</v>
      </c>
      <c r="B48">
        <v>154</v>
      </c>
      <c r="C48" s="2">
        <v>43147</v>
      </c>
      <c r="D48" t="str">
        <f>"1250020150000980000"</f>
        <v>1250020150000980000</v>
      </c>
      <c r="E48" s="2">
        <v>42321</v>
      </c>
      <c r="F48">
        <v>0</v>
      </c>
      <c r="G48" s="2">
        <v>43152</v>
      </c>
      <c r="H48" s="2">
        <v>42348</v>
      </c>
      <c r="I48" t="s">
        <v>16</v>
      </c>
      <c r="J48">
        <v>8.72</v>
      </c>
      <c r="K48">
        <v>0.79</v>
      </c>
      <c r="L48">
        <v>7.93</v>
      </c>
      <c r="M48">
        <v>804</v>
      </c>
      <c r="N48" s="3">
        <v>6375.72</v>
      </c>
      <c r="O48" s="1" t="s">
        <v>17</v>
      </c>
    </row>
    <row r="49" spans="1:15" ht="15">
      <c r="A49" s="6" t="s">
        <v>15</v>
      </c>
      <c r="B49">
        <v>134</v>
      </c>
      <c r="C49" s="2">
        <v>43145</v>
      </c>
      <c r="D49" t="str">
        <f>"1250020150000979800"</f>
        <v>1250020150000979800</v>
      </c>
      <c r="E49" s="2">
        <v>42321</v>
      </c>
      <c r="F49">
        <v>0</v>
      </c>
      <c r="G49" s="2">
        <v>43152</v>
      </c>
      <c r="H49" s="2">
        <v>42348</v>
      </c>
      <c r="I49" t="s">
        <v>16</v>
      </c>
      <c r="J49">
        <v>8.42</v>
      </c>
      <c r="K49">
        <v>0.77</v>
      </c>
      <c r="L49">
        <v>7.65</v>
      </c>
      <c r="M49">
        <v>804</v>
      </c>
      <c r="N49" s="3">
        <v>6150.6</v>
      </c>
      <c r="O49" s="1" t="s">
        <v>17</v>
      </c>
    </row>
    <row r="50" spans="1:15" ht="15">
      <c r="A50" s="6" t="s">
        <v>15</v>
      </c>
      <c r="B50">
        <v>134</v>
      </c>
      <c r="C50" s="2">
        <v>43145</v>
      </c>
      <c r="D50" t="str">
        <f>"1250020150000980500"</f>
        <v>1250020150000980500</v>
      </c>
      <c r="E50" s="2">
        <v>42321</v>
      </c>
      <c r="F50">
        <v>0</v>
      </c>
      <c r="G50" s="2">
        <v>43152</v>
      </c>
      <c r="H50" s="2">
        <v>42355</v>
      </c>
      <c r="I50" t="s">
        <v>18</v>
      </c>
      <c r="J50">
        <v>8.76</v>
      </c>
      <c r="K50">
        <v>0.77</v>
      </c>
      <c r="L50">
        <v>7.99</v>
      </c>
      <c r="M50">
        <v>797</v>
      </c>
      <c r="N50" s="3">
        <v>6368.03</v>
      </c>
      <c r="O50" s="1" t="s">
        <v>17</v>
      </c>
    </row>
    <row r="51" spans="1:15" ht="15">
      <c r="A51" s="6" t="s">
        <v>15</v>
      </c>
      <c r="B51">
        <v>154</v>
      </c>
      <c r="C51" s="2">
        <v>43147</v>
      </c>
      <c r="D51" t="str">
        <f>"1250020150000979900"</f>
        <v>1250020150000979900</v>
      </c>
      <c r="E51" s="2">
        <v>42321</v>
      </c>
      <c r="F51">
        <v>0</v>
      </c>
      <c r="G51" s="2">
        <v>43152</v>
      </c>
      <c r="H51" s="2">
        <v>42355</v>
      </c>
      <c r="I51" t="s">
        <v>18</v>
      </c>
      <c r="J51">
        <v>63.36</v>
      </c>
      <c r="K51">
        <v>5.76</v>
      </c>
      <c r="L51">
        <v>57.6</v>
      </c>
      <c r="M51">
        <v>797</v>
      </c>
      <c r="N51" s="3">
        <v>45907.2</v>
      </c>
      <c r="O51" s="1" t="s">
        <v>17</v>
      </c>
    </row>
    <row r="52" spans="1:15" ht="15">
      <c r="A52" s="6" t="s">
        <v>15</v>
      </c>
      <c r="B52">
        <v>134</v>
      </c>
      <c r="C52" s="2">
        <v>43145</v>
      </c>
      <c r="D52" t="str">
        <f>"1250020150000979700"</f>
        <v>1250020150000979700</v>
      </c>
      <c r="E52" s="2">
        <v>42321</v>
      </c>
      <c r="F52">
        <v>0</v>
      </c>
      <c r="G52" s="2">
        <v>43152</v>
      </c>
      <c r="H52" s="2">
        <v>42355</v>
      </c>
      <c r="I52" t="s">
        <v>18</v>
      </c>
      <c r="J52">
        <v>21.18</v>
      </c>
      <c r="K52">
        <v>1.93</v>
      </c>
      <c r="L52">
        <v>19.25</v>
      </c>
      <c r="M52">
        <v>797</v>
      </c>
      <c r="N52" s="3">
        <v>15342.25</v>
      </c>
      <c r="O52" s="1" t="s">
        <v>17</v>
      </c>
    </row>
    <row r="53" spans="1:15" ht="15">
      <c r="A53" s="6" t="s">
        <v>15</v>
      </c>
      <c r="B53">
        <v>136</v>
      </c>
      <c r="C53" s="2">
        <v>43145</v>
      </c>
      <c r="D53" t="str">
        <f>"1250020150000980400"</f>
        <v>1250020150000980400</v>
      </c>
      <c r="E53" s="2">
        <v>42321</v>
      </c>
      <c r="F53">
        <v>0</v>
      </c>
      <c r="G53" s="2">
        <v>43152</v>
      </c>
      <c r="H53" s="2">
        <v>42355</v>
      </c>
      <c r="I53" t="s">
        <v>18</v>
      </c>
      <c r="J53">
        <v>60.1</v>
      </c>
      <c r="K53">
        <v>10.95</v>
      </c>
      <c r="L53">
        <v>49.15</v>
      </c>
      <c r="M53">
        <v>797</v>
      </c>
      <c r="N53" s="3">
        <v>39172.55</v>
      </c>
      <c r="O53" s="1" t="s">
        <v>17</v>
      </c>
    </row>
    <row r="54" spans="1:15" ht="15">
      <c r="A54" s="6" t="s">
        <v>15</v>
      </c>
      <c r="B54">
        <v>154</v>
      </c>
      <c r="C54" s="2">
        <v>43147</v>
      </c>
      <c r="D54" t="str">
        <f>"1250020150000979600"</f>
        <v>1250020150000979600</v>
      </c>
      <c r="E54" s="2">
        <v>42321</v>
      </c>
      <c r="F54">
        <v>0</v>
      </c>
      <c r="G54" s="2">
        <v>43152</v>
      </c>
      <c r="H54" s="2">
        <v>42355</v>
      </c>
      <c r="I54" t="s">
        <v>18</v>
      </c>
      <c r="J54">
        <v>11.79</v>
      </c>
      <c r="K54">
        <v>1.07</v>
      </c>
      <c r="L54">
        <v>10.72</v>
      </c>
      <c r="M54">
        <v>797</v>
      </c>
      <c r="N54" s="3">
        <v>8543.84</v>
      </c>
      <c r="O54" s="1" t="s">
        <v>17</v>
      </c>
    </row>
    <row r="55" spans="1:15" ht="15">
      <c r="A55" s="6" t="s">
        <v>15</v>
      </c>
      <c r="B55">
        <v>134</v>
      </c>
      <c r="C55" s="2">
        <v>43145</v>
      </c>
      <c r="D55" t="str">
        <f>"1250020150000980100"</f>
        <v>1250020150000980100</v>
      </c>
      <c r="E55" s="2">
        <v>42321</v>
      </c>
      <c r="F55">
        <v>0</v>
      </c>
      <c r="G55" s="2">
        <v>43152</v>
      </c>
      <c r="H55" s="2">
        <v>42355</v>
      </c>
      <c r="I55" t="s">
        <v>18</v>
      </c>
      <c r="J55">
        <v>38.57</v>
      </c>
      <c r="K55">
        <v>3.51</v>
      </c>
      <c r="L55">
        <v>35.06</v>
      </c>
      <c r="M55">
        <v>797</v>
      </c>
      <c r="N55" s="3">
        <v>27942.82</v>
      </c>
      <c r="O55" s="1" t="s">
        <v>17</v>
      </c>
    </row>
    <row r="56" spans="1:15" ht="15">
      <c r="A56" s="6" t="s">
        <v>15</v>
      </c>
      <c r="B56">
        <v>134</v>
      </c>
      <c r="C56" s="2">
        <v>43145</v>
      </c>
      <c r="D56" t="str">
        <f>"1250020150000980200"</f>
        <v>1250020150000980200</v>
      </c>
      <c r="E56" s="2">
        <v>42321</v>
      </c>
      <c r="F56">
        <v>0</v>
      </c>
      <c r="G56" s="2">
        <v>43152</v>
      </c>
      <c r="H56" s="2">
        <v>42355</v>
      </c>
      <c r="I56" t="s">
        <v>18</v>
      </c>
      <c r="J56">
        <v>23.55</v>
      </c>
      <c r="K56">
        <v>7.63</v>
      </c>
      <c r="L56">
        <v>15.92</v>
      </c>
      <c r="M56">
        <v>797</v>
      </c>
      <c r="N56" s="3">
        <v>12688.24</v>
      </c>
      <c r="O56" s="1" t="s">
        <v>17</v>
      </c>
    </row>
    <row r="57" spans="1:15" ht="15">
      <c r="A57" s="6" t="s">
        <v>15</v>
      </c>
      <c r="B57">
        <v>134</v>
      </c>
      <c r="C57" s="2">
        <v>43145</v>
      </c>
      <c r="D57" t="str">
        <f>"1250020150001086300"</f>
        <v>1250020150001086300</v>
      </c>
      <c r="E57" s="2">
        <v>42359</v>
      </c>
      <c r="F57">
        <v>0</v>
      </c>
      <c r="G57" s="2">
        <v>43152</v>
      </c>
      <c r="H57" s="2">
        <v>42387</v>
      </c>
      <c r="I57" t="s">
        <v>16</v>
      </c>
      <c r="J57">
        <v>34.73</v>
      </c>
      <c r="K57">
        <v>8.65</v>
      </c>
      <c r="L57">
        <v>26.08</v>
      </c>
      <c r="M57">
        <v>765</v>
      </c>
      <c r="N57" s="3">
        <v>19951.2</v>
      </c>
      <c r="O57" s="1" t="s">
        <v>17</v>
      </c>
    </row>
    <row r="58" spans="1:15" ht="15">
      <c r="A58" s="6" t="s">
        <v>15</v>
      </c>
      <c r="B58">
        <v>270</v>
      </c>
      <c r="C58" s="2">
        <v>43173</v>
      </c>
      <c r="D58" t="str">
        <f>"1250020160000099600"</f>
        <v>1250020160000099600</v>
      </c>
      <c r="E58" s="2">
        <v>42389</v>
      </c>
      <c r="F58">
        <v>0</v>
      </c>
      <c r="G58" s="2">
        <v>43174</v>
      </c>
      <c r="H58" s="2">
        <v>42421</v>
      </c>
      <c r="I58" t="s">
        <v>18</v>
      </c>
      <c r="J58">
        <v>9.09</v>
      </c>
      <c r="K58">
        <v>0.83</v>
      </c>
      <c r="L58">
        <v>8.26</v>
      </c>
      <c r="M58">
        <v>753</v>
      </c>
      <c r="N58" s="3">
        <v>6219.78</v>
      </c>
      <c r="O58" s="1" t="s">
        <v>17</v>
      </c>
    </row>
    <row r="59" spans="1:15" ht="15">
      <c r="A59" s="6" t="s">
        <v>15</v>
      </c>
      <c r="B59">
        <v>270</v>
      </c>
      <c r="C59" s="2">
        <v>43173</v>
      </c>
      <c r="D59" t="str">
        <f>"1250020160000099500"</f>
        <v>1250020160000099500</v>
      </c>
      <c r="E59" s="2">
        <v>42389</v>
      </c>
      <c r="F59">
        <v>0</v>
      </c>
      <c r="G59" s="2">
        <v>43174</v>
      </c>
      <c r="H59" s="2">
        <v>42421</v>
      </c>
      <c r="I59" t="s">
        <v>18</v>
      </c>
      <c r="J59">
        <v>72.59</v>
      </c>
      <c r="K59">
        <v>6.6</v>
      </c>
      <c r="L59">
        <v>65.99</v>
      </c>
      <c r="M59">
        <v>753</v>
      </c>
      <c r="N59" s="3">
        <v>49690.47</v>
      </c>
      <c r="O59" s="1" t="s">
        <v>17</v>
      </c>
    </row>
    <row r="60" spans="1:15" ht="15">
      <c r="A60" s="6" t="s">
        <v>15</v>
      </c>
      <c r="B60">
        <v>269</v>
      </c>
      <c r="C60" s="2">
        <v>43173</v>
      </c>
      <c r="D60" t="str">
        <f>"1250020160000099900"</f>
        <v>1250020160000099900</v>
      </c>
      <c r="E60" s="2">
        <v>42389</v>
      </c>
      <c r="F60">
        <v>0</v>
      </c>
      <c r="G60" s="2">
        <v>43174</v>
      </c>
      <c r="H60" s="2">
        <v>42421</v>
      </c>
      <c r="I60" t="s">
        <v>18</v>
      </c>
      <c r="J60">
        <v>51.41</v>
      </c>
      <c r="K60">
        <v>4.67</v>
      </c>
      <c r="L60">
        <v>46.74</v>
      </c>
      <c r="M60">
        <v>753</v>
      </c>
      <c r="N60" s="3">
        <v>35195.22</v>
      </c>
      <c r="O60" s="1" t="s">
        <v>17</v>
      </c>
    </row>
    <row r="61" spans="1:15" ht="15">
      <c r="A61" s="6" t="s">
        <v>15</v>
      </c>
      <c r="B61">
        <v>270</v>
      </c>
      <c r="C61" s="2">
        <v>43173</v>
      </c>
      <c r="D61" t="str">
        <f>"1250020160000099200"</f>
        <v>1250020160000099200</v>
      </c>
      <c r="E61" s="2">
        <v>42389</v>
      </c>
      <c r="F61">
        <v>0</v>
      </c>
      <c r="G61" s="2">
        <v>43174</v>
      </c>
      <c r="H61" s="2">
        <v>42421</v>
      </c>
      <c r="I61" t="s">
        <v>18</v>
      </c>
      <c r="J61">
        <v>9.08</v>
      </c>
      <c r="K61">
        <v>0.83</v>
      </c>
      <c r="L61">
        <v>8.25</v>
      </c>
      <c r="M61">
        <v>753</v>
      </c>
      <c r="N61" s="3">
        <v>6212.25</v>
      </c>
      <c r="O61" s="1" t="s">
        <v>17</v>
      </c>
    </row>
    <row r="62" spans="1:15" ht="15">
      <c r="A62" s="6" t="s">
        <v>15</v>
      </c>
      <c r="B62">
        <v>155</v>
      </c>
      <c r="C62" s="2">
        <v>43147</v>
      </c>
      <c r="D62" t="str">
        <f>"1250020160000099400"</f>
        <v>1250020160000099400</v>
      </c>
      <c r="E62" s="2">
        <v>42389</v>
      </c>
      <c r="F62">
        <v>0</v>
      </c>
      <c r="G62" s="2">
        <v>43152</v>
      </c>
      <c r="H62" s="2">
        <v>42421</v>
      </c>
      <c r="I62" t="s">
        <v>18</v>
      </c>
      <c r="J62">
        <v>9.09</v>
      </c>
      <c r="K62">
        <v>0.83</v>
      </c>
      <c r="L62">
        <v>8.26</v>
      </c>
      <c r="M62">
        <v>731</v>
      </c>
      <c r="N62" s="3">
        <v>6038.06</v>
      </c>
      <c r="O62" s="1" t="s">
        <v>17</v>
      </c>
    </row>
    <row r="63" spans="1:15" ht="15">
      <c r="A63" s="6" t="s">
        <v>15</v>
      </c>
      <c r="B63">
        <v>155</v>
      </c>
      <c r="C63" s="2">
        <v>43147</v>
      </c>
      <c r="D63" t="str">
        <f>"1250020160000099800"</f>
        <v>1250020160000099800</v>
      </c>
      <c r="E63" s="2">
        <v>42389</v>
      </c>
      <c r="F63">
        <v>0</v>
      </c>
      <c r="G63" s="2">
        <v>43152</v>
      </c>
      <c r="H63" s="2">
        <v>42421</v>
      </c>
      <c r="I63" t="s">
        <v>18</v>
      </c>
      <c r="J63">
        <v>11.08</v>
      </c>
      <c r="K63">
        <v>1.01</v>
      </c>
      <c r="L63">
        <v>10.07</v>
      </c>
      <c r="M63">
        <v>731</v>
      </c>
      <c r="N63" s="3">
        <v>7361.17</v>
      </c>
      <c r="O63" s="1" t="s">
        <v>17</v>
      </c>
    </row>
    <row r="64" spans="1:15" ht="15">
      <c r="A64" s="6" t="s">
        <v>15</v>
      </c>
      <c r="B64">
        <v>155</v>
      </c>
      <c r="C64" s="2">
        <v>43147</v>
      </c>
      <c r="D64" t="str">
        <f>"1250020160000099300"</f>
        <v>1250020160000099300</v>
      </c>
      <c r="E64" s="2">
        <v>42389</v>
      </c>
      <c r="F64">
        <v>0</v>
      </c>
      <c r="G64" s="2">
        <v>43152</v>
      </c>
      <c r="H64" s="2">
        <v>42421</v>
      </c>
      <c r="I64" t="s">
        <v>18</v>
      </c>
      <c r="J64">
        <v>33.76</v>
      </c>
      <c r="K64">
        <v>3.07</v>
      </c>
      <c r="L64">
        <v>30.69</v>
      </c>
      <c r="M64">
        <v>731</v>
      </c>
      <c r="N64" s="3">
        <v>22434.39</v>
      </c>
      <c r="O64" s="1" t="s">
        <v>17</v>
      </c>
    </row>
    <row r="65" spans="1:15" ht="15">
      <c r="A65" s="6" t="s">
        <v>15</v>
      </c>
      <c r="B65">
        <v>155</v>
      </c>
      <c r="C65" s="2">
        <v>43147</v>
      </c>
      <c r="D65" t="str">
        <f>"1250020160000099700"</f>
        <v>1250020160000099700</v>
      </c>
      <c r="E65" s="2">
        <v>42389</v>
      </c>
      <c r="F65">
        <v>0</v>
      </c>
      <c r="G65" s="2">
        <v>43152</v>
      </c>
      <c r="H65" s="2">
        <v>42421</v>
      </c>
      <c r="I65" t="s">
        <v>18</v>
      </c>
      <c r="J65">
        <v>7.31</v>
      </c>
      <c r="K65">
        <v>0.66</v>
      </c>
      <c r="L65">
        <v>6.65</v>
      </c>
      <c r="M65">
        <v>731</v>
      </c>
      <c r="N65" s="3">
        <v>4861.15</v>
      </c>
      <c r="O65" s="1" t="s">
        <v>17</v>
      </c>
    </row>
    <row r="66" spans="1:15" ht="15">
      <c r="A66" s="6" t="s">
        <v>15</v>
      </c>
      <c r="B66">
        <v>155</v>
      </c>
      <c r="C66" s="2">
        <v>43147</v>
      </c>
      <c r="D66" t="str">
        <f>"1250020160000100000"</f>
        <v>1250020160000100000</v>
      </c>
      <c r="E66" s="2">
        <v>42389</v>
      </c>
      <c r="F66">
        <v>0</v>
      </c>
      <c r="G66" s="2">
        <v>43152</v>
      </c>
      <c r="H66" s="2">
        <v>42421</v>
      </c>
      <c r="I66" t="s">
        <v>18</v>
      </c>
      <c r="J66">
        <v>9.34</v>
      </c>
      <c r="K66">
        <v>0.83</v>
      </c>
      <c r="L66">
        <v>8.51</v>
      </c>
      <c r="M66">
        <v>731</v>
      </c>
      <c r="N66" s="3">
        <v>6220.81</v>
      </c>
      <c r="O66" s="1" t="s">
        <v>17</v>
      </c>
    </row>
    <row r="67" spans="1:15" ht="15">
      <c r="A67" s="6" t="s">
        <v>15</v>
      </c>
      <c r="B67">
        <v>270</v>
      </c>
      <c r="C67" s="2">
        <v>43173</v>
      </c>
      <c r="D67" t="str">
        <f>"1250020160000293400"</f>
        <v>1250020160000293400</v>
      </c>
      <c r="E67" s="2">
        <v>42451</v>
      </c>
      <c r="F67">
        <v>0</v>
      </c>
      <c r="G67" s="2">
        <v>43174</v>
      </c>
      <c r="H67" s="2">
        <v>42485</v>
      </c>
      <c r="I67" t="s">
        <v>18</v>
      </c>
      <c r="J67">
        <v>8.28</v>
      </c>
      <c r="K67">
        <v>0.75</v>
      </c>
      <c r="L67">
        <v>7.53</v>
      </c>
      <c r="M67">
        <v>689</v>
      </c>
      <c r="N67" s="3">
        <v>5188.17</v>
      </c>
      <c r="O67" s="1" t="s">
        <v>17</v>
      </c>
    </row>
    <row r="68" spans="1:15" ht="15">
      <c r="A68" s="6" t="s">
        <v>15</v>
      </c>
      <c r="B68">
        <v>269</v>
      </c>
      <c r="C68" s="2">
        <v>43173</v>
      </c>
      <c r="D68" t="str">
        <f>"1250020160000294200"</f>
        <v>1250020160000294200</v>
      </c>
      <c r="E68" s="2">
        <v>42451</v>
      </c>
      <c r="F68">
        <v>0</v>
      </c>
      <c r="G68" s="2">
        <v>43174</v>
      </c>
      <c r="H68" s="2">
        <v>42485</v>
      </c>
      <c r="I68" t="s">
        <v>18</v>
      </c>
      <c r="J68">
        <v>47.08</v>
      </c>
      <c r="K68">
        <v>4.28</v>
      </c>
      <c r="L68">
        <v>42.8</v>
      </c>
      <c r="M68">
        <v>689</v>
      </c>
      <c r="N68" s="3">
        <v>29489.2</v>
      </c>
      <c r="O68" s="1" t="s">
        <v>17</v>
      </c>
    </row>
    <row r="69" spans="1:15" ht="15">
      <c r="A69" s="6" t="s">
        <v>15</v>
      </c>
      <c r="B69">
        <v>270</v>
      </c>
      <c r="C69" s="2">
        <v>43173</v>
      </c>
      <c r="D69" t="str">
        <f>"1250020160000293200"</f>
        <v>1250020160000293200</v>
      </c>
      <c r="E69" s="2">
        <v>42451</v>
      </c>
      <c r="F69">
        <v>0</v>
      </c>
      <c r="G69" s="2">
        <v>43174</v>
      </c>
      <c r="H69" s="2">
        <v>42485</v>
      </c>
      <c r="I69" t="s">
        <v>18</v>
      </c>
      <c r="J69">
        <v>8.28</v>
      </c>
      <c r="K69">
        <v>0.75</v>
      </c>
      <c r="L69">
        <v>7.53</v>
      </c>
      <c r="M69">
        <v>689</v>
      </c>
      <c r="N69" s="3">
        <v>5188.17</v>
      </c>
      <c r="O69" s="1" t="s">
        <v>17</v>
      </c>
    </row>
    <row r="70" spans="1:15" ht="15">
      <c r="A70" s="6" t="s">
        <v>15</v>
      </c>
      <c r="B70">
        <v>270</v>
      </c>
      <c r="C70" s="2">
        <v>43173</v>
      </c>
      <c r="D70" t="str">
        <f>"1250020160000293600"</f>
        <v>1250020160000293600</v>
      </c>
      <c r="E70" s="2">
        <v>42451</v>
      </c>
      <c r="F70">
        <v>0</v>
      </c>
      <c r="G70" s="2">
        <v>43174</v>
      </c>
      <c r="H70" s="2">
        <v>42485</v>
      </c>
      <c r="I70" t="s">
        <v>18</v>
      </c>
      <c r="J70">
        <v>8.28</v>
      </c>
      <c r="K70">
        <v>0.75</v>
      </c>
      <c r="L70">
        <v>7.53</v>
      </c>
      <c r="M70">
        <v>689</v>
      </c>
      <c r="N70" s="3">
        <v>5188.17</v>
      </c>
      <c r="O70" s="1" t="s">
        <v>17</v>
      </c>
    </row>
    <row r="71" spans="1:15" ht="15">
      <c r="A71" s="6" t="s">
        <v>15</v>
      </c>
      <c r="B71">
        <v>270</v>
      </c>
      <c r="C71" s="2">
        <v>43173</v>
      </c>
      <c r="D71" t="str">
        <f>"1250020160000294100"</f>
        <v>1250020160000294100</v>
      </c>
      <c r="E71" s="2">
        <v>42451</v>
      </c>
      <c r="F71">
        <v>0</v>
      </c>
      <c r="G71" s="2">
        <v>43174</v>
      </c>
      <c r="H71" s="2">
        <v>42485</v>
      </c>
      <c r="I71" t="s">
        <v>18</v>
      </c>
      <c r="J71">
        <v>34.02</v>
      </c>
      <c r="K71">
        <v>3.09</v>
      </c>
      <c r="L71">
        <v>30.93</v>
      </c>
      <c r="M71">
        <v>689</v>
      </c>
      <c r="N71" s="3">
        <v>21310.77</v>
      </c>
      <c r="O71" s="1" t="s">
        <v>17</v>
      </c>
    </row>
    <row r="72" spans="1:15" ht="15">
      <c r="A72" s="6" t="s">
        <v>15</v>
      </c>
      <c r="B72">
        <v>270</v>
      </c>
      <c r="C72" s="2">
        <v>43173</v>
      </c>
      <c r="D72" t="str">
        <f>"1250020160000293800"</f>
        <v>1250020160000293800</v>
      </c>
      <c r="E72" s="2">
        <v>42451</v>
      </c>
      <c r="F72">
        <v>0</v>
      </c>
      <c r="G72" s="2">
        <v>43174</v>
      </c>
      <c r="H72" s="2">
        <v>42485</v>
      </c>
      <c r="I72" t="s">
        <v>18</v>
      </c>
      <c r="J72">
        <v>133.45</v>
      </c>
      <c r="K72">
        <v>17.62</v>
      </c>
      <c r="L72">
        <v>115.83</v>
      </c>
      <c r="M72">
        <v>689</v>
      </c>
      <c r="N72" s="3">
        <v>79806.87</v>
      </c>
      <c r="O72" s="1" t="s">
        <v>17</v>
      </c>
    </row>
    <row r="73" spans="1:15" ht="15">
      <c r="A73" s="6" t="s">
        <v>15</v>
      </c>
      <c r="B73">
        <v>270</v>
      </c>
      <c r="C73" s="2">
        <v>43173</v>
      </c>
      <c r="D73" t="str">
        <f>"1250020160000293500"</f>
        <v>1250020160000293500</v>
      </c>
      <c r="E73" s="2">
        <v>42451</v>
      </c>
      <c r="F73">
        <v>0</v>
      </c>
      <c r="G73" s="2">
        <v>43174</v>
      </c>
      <c r="H73" s="2">
        <v>42485</v>
      </c>
      <c r="I73" t="s">
        <v>18</v>
      </c>
      <c r="J73">
        <v>66.5</v>
      </c>
      <c r="K73">
        <v>6.05</v>
      </c>
      <c r="L73">
        <v>60.45</v>
      </c>
      <c r="M73">
        <v>689</v>
      </c>
      <c r="N73" s="3">
        <v>41650.05</v>
      </c>
      <c r="O73" s="1" t="s">
        <v>17</v>
      </c>
    </row>
    <row r="74" spans="1:15" ht="15">
      <c r="A74" s="6" t="s">
        <v>15</v>
      </c>
      <c r="B74">
        <v>269</v>
      </c>
      <c r="C74" s="2">
        <v>43173</v>
      </c>
      <c r="D74" t="str">
        <f>"1250020160000294300"</f>
        <v>1250020160000294300</v>
      </c>
      <c r="E74" s="2">
        <v>42451</v>
      </c>
      <c r="F74">
        <v>0</v>
      </c>
      <c r="G74" s="2">
        <v>43174</v>
      </c>
      <c r="H74" s="2">
        <v>42485</v>
      </c>
      <c r="I74" t="s">
        <v>18</v>
      </c>
      <c r="J74">
        <v>11.09</v>
      </c>
      <c r="K74">
        <v>6.5</v>
      </c>
      <c r="L74">
        <v>4.59</v>
      </c>
      <c r="M74">
        <v>689</v>
      </c>
      <c r="N74" s="3">
        <v>3162.51</v>
      </c>
      <c r="O74" s="1" t="s">
        <v>17</v>
      </c>
    </row>
    <row r="75" spans="1:15" ht="15">
      <c r="A75" s="6" t="s">
        <v>15</v>
      </c>
      <c r="B75">
        <v>156</v>
      </c>
      <c r="C75" s="2">
        <v>43147</v>
      </c>
      <c r="D75" t="str">
        <f>"1250020160000294000"</f>
        <v>1250020160000294000</v>
      </c>
      <c r="E75" s="2">
        <v>42451</v>
      </c>
      <c r="F75">
        <v>0</v>
      </c>
      <c r="G75" s="2">
        <v>43152</v>
      </c>
      <c r="H75" s="2">
        <v>42485</v>
      </c>
      <c r="I75" t="s">
        <v>18</v>
      </c>
      <c r="J75">
        <v>21.64</v>
      </c>
      <c r="K75">
        <v>1.96</v>
      </c>
      <c r="L75">
        <v>19.68</v>
      </c>
      <c r="M75">
        <v>667</v>
      </c>
      <c r="N75" s="3">
        <v>13126.56</v>
      </c>
      <c r="O75" s="1" t="s">
        <v>17</v>
      </c>
    </row>
    <row r="76" spans="1:15" ht="15">
      <c r="A76" s="6" t="s">
        <v>15</v>
      </c>
      <c r="B76">
        <v>155</v>
      </c>
      <c r="C76" s="2">
        <v>43147</v>
      </c>
      <c r="D76" t="str">
        <f>"1250020160000293300"</f>
        <v>1250020160000293300</v>
      </c>
      <c r="E76" s="2">
        <v>42451</v>
      </c>
      <c r="F76">
        <v>0</v>
      </c>
      <c r="G76" s="2">
        <v>43152</v>
      </c>
      <c r="H76" s="2">
        <v>42485</v>
      </c>
      <c r="I76" t="s">
        <v>18</v>
      </c>
      <c r="J76">
        <v>18.4</v>
      </c>
      <c r="K76">
        <v>1.68</v>
      </c>
      <c r="L76">
        <v>16.72</v>
      </c>
      <c r="M76">
        <v>667</v>
      </c>
      <c r="N76" s="3">
        <v>11152.24</v>
      </c>
      <c r="O76" s="1" t="s">
        <v>17</v>
      </c>
    </row>
    <row r="77" spans="1:15" ht="15">
      <c r="A77" s="6" t="s">
        <v>15</v>
      </c>
      <c r="B77">
        <v>156</v>
      </c>
      <c r="C77" s="2">
        <v>43147</v>
      </c>
      <c r="D77" t="str">
        <f>"1250020160000293700"</f>
        <v>1250020160000293700</v>
      </c>
      <c r="E77" s="2">
        <v>42451</v>
      </c>
      <c r="F77">
        <v>0</v>
      </c>
      <c r="G77" s="2">
        <v>43152</v>
      </c>
      <c r="H77" s="2">
        <v>42485</v>
      </c>
      <c r="I77" t="s">
        <v>18</v>
      </c>
      <c r="J77">
        <v>34.75</v>
      </c>
      <c r="K77">
        <v>3.16</v>
      </c>
      <c r="L77">
        <v>31.59</v>
      </c>
      <c r="M77">
        <v>667</v>
      </c>
      <c r="N77" s="3">
        <v>21070.53</v>
      </c>
      <c r="O77" s="1" t="s">
        <v>17</v>
      </c>
    </row>
    <row r="78" spans="1:15" ht="15">
      <c r="A78" s="6" t="s">
        <v>15</v>
      </c>
      <c r="B78">
        <v>156</v>
      </c>
      <c r="C78" s="2">
        <v>43147</v>
      </c>
      <c r="D78" t="str">
        <f>"1250020160000293900"</f>
        <v>1250020160000293900</v>
      </c>
      <c r="E78" s="2">
        <v>42451</v>
      </c>
      <c r="F78">
        <v>0</v>
      </c>
      <c r="G78" s="2">
        <v>43152</v>
      </c>
      <c r="H78" s="2">
        <v>42485</v>
      </c>
      <c r="I78" t="s">
        <v>18</v>
      </c>
      <c r="J78">
        <v>22.4</v>
      </c>
      <c r="K78">
        <v>2.04</v>
      </c>
      <c r="L78">
        <v>20.36</v>
      </c>
      <c r="M78">
        <v>667</v>
      </c>
      <c r="N78" s="3">
        <v>13580.12</v>
      </c>
      <c r="O78" s="1" t="s">
        <v>17</v>
      </c>
    </row>
    <row r="79" spans="1:15" ht="15">
      <c r="A79" s="6" t="s">
        <v>15</v>
      </c>
      <c r="B79">
        <v>156</v>
      </c>
      <c r="C79" s="2">
        <v>43147</v>
      </c>
      <c r="D79" t="str">
        <f>"1250020160000293300"</f>
        <v>1250020160000293300</v>
      </c>
      <c r="E79" s="2">
        <v>42451</v>
      </c>
      <c r="F79">
        <v>0</v>
      </c>
      <c r="G79" s="2">
        <v>43152</v>
      </c>
      <c r="H79" s="2">
        <v>42485</v>
      </c>
      <c r="I79" t="s">
        <v>18</v>
      </c>
      <c r="J79">
        <v>2.23</v>
      </c>
      <c r="K79">
        <v>0.2</v>
      </c>
      <c r="L79">
        <v>2.03</v>
      </c>
      <c r="M79">
        <v>667</v>
      </c>
      <c r="N79" s="3">
        <v>1354.01</v>
      </c>
      <c r="O79" s="1" t="s">
        <v>17</v>
      </c>
    </row>
    <row r="80" spans="1:15" ht="15">
      <c r="A80" s="6" t="s">
        <v>15</v>
      </c>
      <c r="B80">
        <v>156</v>
      </c>
      <c r="C80" s="2">
        <v>43147</v>
      </c>
      <c r="D80" t="str">
        <f>"1250020160000294400"</f>
        <v>1250020160000294400</v>
      </c>
      <c r="E80" s="2">
        <v>42451</v>
      </c>
      <c r="F80">
        <v>0</v>
      </c>
      <c r="G80" s="2">
        <v>43152</v>
      </c>
      <c r="H80" s="2">
        <v>42485</v>
      </c>
      <c r="I80" t="s">
        <v>18</v>
      </c>
      <c r="J80">
        <v>8.28</v>
      </c>
      <c r="K80">
        <v>0.75</v>
      </c>
      <c r="L80">
        <v>7.53</v>
      </c>
      <c r="M80">
        <v>667</v>
      </c>
      <c r="N80" s="3">
        <v>5022.51</v>
      </c>
      <c r="O80" s="1" t="s">
        <v>17</v>
      </c>
    </row>
    <row r="81" spans="1:15" ht="15">
      <c r="A81" s="6" t="s">
        <v>15</v>
      </c>
      <c r="B81">
        <v>270</v>
      </c>
      <c r="C81" s="2">
        <v>43173</v>
      </c>
      <c r="D81" t="str">
        <f>"1250020160000605800"</f>
        <v>1250020160000605800</v>
      </c>
      <c r="E81" s="2">
        <v>42520</v>
      </c>
      <c r="F81">
        <v>0</v>
      </c>
      <c r="G81" s="2">
        <v>43174</v>
      </c>
      <c r="H81" s="2">
        <v>42548</v>
      </c>
      <c r="I81" t="s">
        <v>16</v>
      </c>
      <c r="J81">
        <v>150.07</v>
      </c>
      <c r="K81">
        <v>13.64</v>
      </c>
      <c r="L81">
        <v>136.43</v>
      </c>
      <c r="M81">
        <v>626</v>
      </c>
      <c r="N81" s="3">
        <v>85405.18</v>
      </c>
      <c r="O81" s="1" t="s">
        <v>17</v>
      </c>
    </row>
    <row r="82" spans="1:15" ht="15">
      <c r="A82" s="6" t="s">
        <v>15</v>
      </c>
      <c r="B82">
        <v>270</v>
      </c>
      <c r="C82" s="2">
        <v>43173</v>
      </c>
      <c r="D82" t="str">
        <f>"1250020160000605500"</f>
        <v>1250020160000605500</v>
      </c>
      <c r="E82" s="2">
        <v>42520</v>
      </c>
      <c r="F82">
        <v>0</v>
      </c>
      <c r="G82" s="2">
        <v>43174</v>
      </c>
      <c r="H82" s="2">
        <v>42548</v>
      </c>
      <c r="I82" t="s">
        <v>16</v>
      </c>
      <c r="J82">
        <v>74.48</v>
      </c>
      <c r="K82">
        <v>6.77</v>
      </c>
      <c r="L82">
        <v>67.71</v>
      </c>
      <c r="M82">
        <v>626</v>
      </c>
      <c r="N82" s="3">
        <v>42386.46</v>
      </c>
      <c r="O82" s="1" t="s">
        <v>17</v>
      </c>
    </row>
    <row r="83" spans="1:15" ht="15">
      <c r="A83" s="6" t="s">
        <v>15</v>
      </c>
      <c r="B83">
        <v>270</v>
      </c>
      <c r="C83" s="2">
        <v>43173</v>
      </c>
      <c r="D83" t="str">
        <f>"1250020160000605600"</f>
        <v>1250020160000605600</v>
      </c>
      <c r="E83" s="2">
        <v>42520</v>
      </c>
      <c r="F83">
        <v>0</v>
      </c>
      <c r="G83" s="2">
        <v>43174</v>
      </c>
      <c r="H83" s="2">
        <v>42548</v>
      </c>
      <c r="I83" t="s">
        <v>16</v>
      </c>
      <c r="J83">
        <v>9.22</v>
      </c>
      <c r="K83">
        <v>0.84</v>
      </c>
      <c r="L83">
        <v>8.38</v>
      </c>
      <c r="M83">
        <v>626</v>
      </c>
      <c r="N83" s="3">
        <v>5245.88</v>
      </c>
      <c r="O83" s="1" t="s">
        <v>17</v>
      </c>
    </row>
    <row r="84" spans="1:15" ht="15">
      <c r="A84" s="6" t="s">
        <v>15</v>
      </c>
      <c r="B84">
        <v>269</v>
      </c>
      <c r="C84" s="2">
        <v>43173</v>
      </c>
      <c r="D84" t="str">
        <f>"1250020160000607200"</f>
        <v>1250020160000607200</v>
      </c>
      <c r="E84" s="2">
        <v>42520</v>
      </c>
      <c r="F84">
        <v>0</v>
      </c>
      <c r="G84" s="2">
        <v>43174</v>
      </c>
      <c r="H84" s="2">
        <v>42548</v>
      </c>
      <c r="I84" t="s">
        <v>16</v>
      </c>
      <c r="J84">
        <v>26.5</v>
      </c>
      <c r="K84">
        <v>2.41</v>
      </c>
      <c r="L84">
        <v>24.09</v>
      </c>
      <c r="M84">
        <v>626</v>
      </c>
      <c r="N84" s="3">
        <v>15080.34</v>
      </c>
      <c r="O84" s="1" t="s">
        <v>17</v>
      </c>
    </row>
    <row r="85" spans="1:15" ht="15">
      <c r="A85" s="6" t="s">
        <v>15</v>
      </c>
      <c r="B85">
        <v>270</v>
      </c>
      <c r="C85" s="2">
        <v>43173</v>
      </c>
      <c r="D85" t="str">
        <f>"1250020160000606800"</f>
        <v>1250020160000606800</v>
      </c>
      <c r="E85" s="2">
        <v>42520</v>
      </c>
      <c r="F85">
        <v>0</v>
      </c>
      <c r="G85" s="2">
        <v>43174</v>
      </c>
      <c r="H85" s="2">
        <v>42548</v>
      </c>
      <c r="I85" t="s">
        <v>16</v>
      </c>
      <c r="J85">
        <v>37.51</v>
      </c>
      <c r="K85">
        <v>3.41</v>
      </c>
      <c r="L85">
        <v>34.1</v>
      </c>
      <c r="M85">
        <v>626</v>
      </c>
      <c r="N85" s="3">
        <v>21346.6</v>
      </c>
      <c r="O85" s="1" t="s">
        <v>17</v>
      </c>
    </row>
    <row r="86" spans="1:15" ht="15">
      <c r="A86" s="6" t="s">
        <v>15</v>
      </c>
      <c r="B86">
        <v>269</v>
      </c>
      <c r="C86" s="2">
        <v>43173</v>
      </c>
      <c r="D86" t="str">
        <f>"1250020160000607100"</f>
        <v>1250020160000607100</v>
      </c>
      <c r="E86" s="2">
        <v>42520</v>
      </c>
      <c r="F86">
        <v>0</v>
      </c>
      <c r="G86" s="2">
        <v>43174</v>
      </c>
      <c r="H86" s="2">
        <v>42548</v>
      </c>
      <c r="I86" t="s">
        <v>16</v>
      </c>
      <c r="J86">
        <v>51.55</v>
      </c>
      <c r="K86">
        <v>4.69</v>
      </c>
      <c r="L86">
        <v>46.86</v>
      </c>
      <c r="M86">
        <v>626</v>
      </c>
      <c r="N86" s="3">
        <v>29334.36</v>
      </c>
      <c r="O86" s="1" t="s">
        <v>17</v>
      </c>
    </row>
    <row r="87" spans="1:15" ht="15">
      <c r="A87" s="6" t="s">
        <v>15</v>
      </c>
      <c r="B87">
        <v>270</v>
      </c>
      <c r="C87" s="2">
        <v>43173</v>
      </c>
      <c r="D87" t="str">
        <f>"1250020160000605200"</f>
        <v>1250020160000605200</v>
      </c>
      <c r="E87" s="2">
        <v>42520</v>
      </c>
      <c r="F87">
        <v>0</v>
      </c>
      <c r="G87" s="2">
        <v>43174</v>
      </c>
      <c r="H87" s="2">
        <v>42548</v>
      </c>
      <c r="I87" t="s">
        <v>16</v>
      </c>
      <c r="J87">
        <v>9.22</v>
      </c>
      <c r="K87">
        <v>0.84</v>
      </c>
      <c r="L87">
        <v>8.38</v>
      </c>
      <c r="M87">
        <v>626</v>
      </c>
      <c r="N87" s="3">
        <v>5245.88</v>
      </c>
      <c r="O87" s="1" t="s">
        <v>17</v>
      </c>
    </row>
    <row r="88" spans="1:15" ht="15">
      <c r="A88" s="6" t="s">
        <v>15</v>
      </c>
      <c r="B88">
        <v>270</v>
      </c>
      <c r="C88" s="2">
        <v>43173</v>
      </c>
      <c r="D88" t="str">
        <f>"1250020160000606900"</f>
        <v>1250020160000606900</v>
      </c>
      <c r="E88" s="2">
        <v>42520</v>
      </c>
      <c r="F88">
        <v>0</v>
      </c>
      <c r="G88" s="2">
        <v>43174</v>
      </c>
      <c r="H88" s="2">
        <v>42559</v>
      </c>
      <c r="I88" t="s">
        <v>18</v>
      </c>
      <c r="J88">
        <v>62.43</v>
      </c>
      <c r="K88">
        <v>5.44</v>
      </c>
      <c r="L88">
        <v>56.99</v>
      </c>
      <c r="M88">
        <v>615</v>
      </c>
      <c r="N88" s="3">
        <v>35048.85</v>
      </c>
      <c r="O88" s="1" t="s">
        <v>17</v>
      </c>
    </row>
    <row r="89" spans="1:15" ht="15">
      <c r="A89" s="6" t="s">
        <v>15</v>
      </c>
      <c r="B89">
        <v>271</v>
      </c>
      <c r="C89" s="2">
        <v>43173</v>
      </c>
      <c r="D89" t="str">
        <f>"1250020160000606700"</f>
        <v>1250020160000606700</v>
      </c>
      <c r="E89" s="2">
        <v>42520</v>
      </c>
      <c r="F89">
        <v>0</v>
      </c>
      <c r="G89" s="2">
        <v>43174</v>
      </c>
      <c r="H89" s="2">
        <v>42559</v>
      </c>
      <c r="I89" t="s">
        <v>18</v>
      </c>
      <c r="J89">
        <v>39.17</v>
      </c>
      <c r="K89">
        <v>3.19</v>
      </c>
      <c r="L89">
        <v>35.98</v>
      </c>
      <c r="M89">
        <v>615</v>
      </c>
      <c r="N89" s="3">
        <v>22127.7</v>
      </c>
      <c r="O89" s="1" t="s">
        <v>17</v>
      </c>
    </row>
    <row r="90" spans="1:15" ht="15">
      <c r="A90" s="6" t="s">
        <v>15</v>
      </c>
      <c r="B90">
        <v>271</v>
      </c>
      <c r="C90" s="2">
        <v>43173</v>
      </c>
      <c r="D90" t="str">
        <f>"1250020160000606600"</f>
        <v>1250020160000606600</v>
      </c>
      <c r="E90" s="2">
        <v>42520</v>
      </c>
      <c r="F90">
        <v>0</v>
      </c>
      <c r="G90" s="2">
        <v>43174</v>
      </c>
      <c r="H90" s="2">
        <v>42559</v>
      </c>
      <c r="I90" t="s">
        <v>18</v>
      </c>
      <c r="J90">
        <v>38.33</v>
      </c>
      <c r="K90">
        <v>3.34</v>
      </c>
      <c r="L90">
        <v>34.99</v>
      </c>
      <c r="M90">
        <v>615</v>
      </c>
      <c r="N90" s="3">
        <v>21518.85</v>
      </c>
      <c r="O90" s="1" t="s">
        <v>17</v>
      </c>
    </row>
    <row r="91" spans="1:15" ht="15">
      <c r="A91" s="6" t="s">
        <v>15</v>
      </c>
      <c r="B91">
        <v>271</v>
      </c>
      <c r="C91" s="2">
        <v>43173</v>
      </c>
      <c r="D91" t="str">
        <f>"1250020160000606500"</f>
        <v>1250020160000606500</v>
      </c>
      <c r="E91" s="2">
        <v>42520</v>
      </c>
      <c r="F91">
        <v>0</v>
      </c>
      <c r="G91" s="2">
        <v>43174</v>
      </c>
      <c r="H91" s="2">
        <v>42559</v>
      </c>
      <c r="I91" t="s">
        <v>18</v>
      </c>
      <c r="J91">
        <v>47.74</v>
      </c>
      <c r="K91">
        <v>4.34</v>
      </c>
      <c r="L91">
        <v>43.4</v>
      </c>
      <c r="M91">
        <v>615</v>
      </c>
      <c r="N91" s="3">
        <v>26691</v>
      </c>
      <c r="O91" s="1" t="s">
        <v>17</v>
      </c>
    </row>
    <row r="92" spans="1:15" ht="15">
      <c r="A92" s="6" t="s">
        <v>15</v>
      </c>
      <c r="B92">
        <v>269</v>
      </c>
      <c r="C92" s="2">
        <v>43173</v>
      </c>
      <c r="D92" t="str">
        <f>"1250020160000605900"</f>
        <v>1250020160000605900</v>
      </c>
      <c r="E92" s="2">
        <v>42520</v>
      </c>
      <c r="F92">
        <v>0</v>
      </c>
      <c r="G92" s="2">
        <v>43174</v>
      </c>
      <c r="H92" s="2">
        <v>42559</v>
      </c>
      <c r="I92" t="s">
        <v>18</v>
      </c>
      <c r="J92">
        <v>53.09</v>
      </c>
      <c r="K92">
        <v>3.36</v>
      </c>
      <c r="L92">
        <v>49.73</v>
      </c>
      <c r="M92">
        <v>615</v>
      </c>
      <c r="N92" s="3">
        <v>30583.95</v>
      </c>
      <c r="O92" s="1" t="s">
        <v>17</v>
      </c>
    </row>
    <row r="93" spans="1:15" ht="15">
      <c r="A93" s="6" t="s">
        <v>15</v>
      </c>
      <c r="B93">
        <v>156</v>
      </c>
      <c r="C93" s="2">
        <v>43147</v>
      </c>
      <c r="D93" t="str">
        <f>"1250020160000605700"</f>
        <v>1250020160000605700</v>
      </c>
      <c r="E93" s="2">
        <v>42520</v>
      </c>
      <c r="F93">
        <v>0</v>
      </c>
      <c r="G93" s="2">
        <v>43152</v>
      </c>
      <c r="H93" s="2">
        <v>42548</v>
      </c>
      <c r="I93" t="s">
        <v>16</v>
      </c>
      <c r="J93">
        <v>39.2</v>
      </c>
      <c r="K93">
        <v>3.56</v>
      </c>
      <c r="L93">
        <v>35.64</v>
      </c>
      <c r="M93">
        <v>604</v>
      </c>
      <c r="N93" s="3">
        <v>21526.56</v>
      </c>
      <c r="O93" s="1" t="s">
        <v>17</v>
      </c>
    </row>
    <row r="94" spans="1:15" ht="15">
      <c r="A94" s="6" t="s">
        <v>15</v>
      </c>
      <c r="B94">
        <v>156</v>
      </c>
      <c r="C94" s="2">
        <v>43147</v>
      </c>
      <c r="D94" t="str">
        <f>"1250020160000605300"</f>
        <v>1250020160000605300</v>
      </c>
      <c r="E94" s="2">
        <v>42520</v>
      </c>
      <c r="F94">
        <v>0</v>
      </c>
      <c r="G94" s="2">
        <v>43152</v>
      </c>
      <c r="H94" s="2">
        <v>42548</v>
      </c>
      <c r="I94" t="s">
        <v>16</v>
      </c>
      <c r="J94">
        <v>23.33</v>
      </c>
      <c r="K94">
        <v>2.12</v>
      </c>
      <c r="L94">
        <v>21.21</v>
      </c>
      <c r="M94">
        <v>604</v>
      </c>
      <c r="N94" s="3">
        <v>12810.84</v>
      </c>
      <c r="O94" s="1" t="s">
        <v>17</v>
      </c>
    </row>
    <row r="95" spans="1:15" ht="15">
      <c r="A95" s="6" t="s">
        <v>15</v>
      </c>
      <c r="B95">
        <v>156</v>
      </c>
      <c r="C95" s="2">
        <v>43147</v>
      </c>
      <c r="D95" t="str">
        <f>"1250020160000606100"</f>
        <v>1250020160000606100</v>
      </c>
      <c r="E95" s="2">
        <v>42520</v>
      </c>
      <c r="F95">
        <v>0</v>
      </c>
      <c r="G95" s="2">
        <v>43152</v>
      </c>
      <c r="H95" s="2">
        <v>42548</v>
      </c>
      <c r="I95" t="s">
        <v>16</v>
      </c>
      <c r="J95">
        <v>25.1</v>
      </c>
      <c r="K95">
        <v>2.28</v>
      </c>
      <c r="L95">
        <v>22.82</v>
      </c>
      <c r="M95">
        <v>604</v>
      </c>
      <c r="N95" s="3">
        <v>13783.28</v>
      </c>
      <c r="O95" s="1" t="s">
        <v>17</v>
      </c>
    </row>
    <row r="96" spans="1:15" ht="15">
      <c r="A96" s="6" t="s">
        <v>15</v>
      </c>
      <c r="B96">
        <v>156</v>
      </c>
      <c r="C96" s="2">
        <v>43147</v>
      </c>
      <c r="D96" t="str">
        <f>"1250020160000606400"</f>
        <v>1250020160000606400</v>
      </c>
      <c r="E96" s="2">
        <v>42520</v>
      </c>
      <c r="F96">
        <v>0</v>
      </c>
      <c r="G96" s="2">
        <v>43152</v>
      </c>
      <c r="H96" s="2">
        <v>42548</v>
      </c>
      <c r="I96" t="s">
        <v>16</v>
      </c>
      <c r="J96">
        <v>47.69</v>
      </c>
      <c r="K96">
        <v>4.34</v>
      </c>
      <c r="L96">
        <v>43.35</v>
      </c>
      <c r="M96">
        <v>604</v>
      </c>
      <c r="N96" s="3">
        <v>26183.4</v>
      </c>
      <c r="O96" s="1" t="s">
        <v>17</v>
      </c>
    </row>
    <row r="97" spans="1:15" ht="15">
      <c r="A97" s="6" t="s">
        <v>15</v>
      </c>
      <c r="B97">
        <v>156</v>
      </c>
      <c r="C97" s="2">
        <v>43147</v>
      </c>
      <c r="D97" t="str">
        <f>"1250020160000605400"</f>
        <v>1250020160000605400</v>
      </c>
      <c r="E97" s="2">
        <v>42520</v>
      </c>
      <c r="F97">
        <v>0</v>
      </c>
      <c r="G97" s="2">
        <v>43152</v>
      </c>
      <c r="H97" s="2">
        <v>42548</v>
      </c>
      <c r="I97" t="s">
        <v>16</v>
      </c>
      <c r="J97">
        <v>9.22</v>
      </c>
      <c r="K97">
        <v>0.84</v>
      </c>
      <c r="L97">
        <v>8.38</v>
      </c>
      <c r="M97">
        <v>604</v>
      </c>
      <c r="N97" s="3">
        <v>5061.52</v>
      </c>
      <c r="O97" s="1" t="s">
        <v>17</v>
      </c>
    </row>
    <row r="98" spans="1:15" ht="15">
      <c r="A98" s="6" t="s">
        <v>15</v>
      </c>
      <c r="B98">
        <v>156</v>
      </c>
      <c r="C98" s="2">
        <v>43147</v>
      </c>
      <c r="D98" t="str">
        <f>"1250020160000607300"</f>
        <v>1250020160000607300</v>
      </c>
      <c r="E98" s="2">
        <v>42520</v>
      </c>
      <c r="F98">
        <v>0</v>
      </c>
      <c r="G98" s="2">
        <v>43152</v>
      </c>
      <c r="H98" s="2">
        <v>42548</v>
      </c>
      <c r="I98" t="s">
        <v>16</v>
      </c>
      <c r="J98">
        <v>9.22</v>
      </c>
      <c r="K98">
        <v>0.84</v>
      </c>
      <c r="L98">
        <v>8.38</v>
      </c>
      <c r="M98">
        <v>604</v>
      </c>
      <c r="N98" s="3">
        <v>5061.52</v>
      </c>
      <c r="O98" s="1" t="s">
        <v>17</v>
      </c>
    </row>
    <row r="99" spans="1:15" ht="15">
      <c r="A99" s="6" t="s">
        <v>15</v>
      </c>
      <c r="B99">
        <v>156</v>
      </c>
      <c r="C99" s="2">
        <v>43147</v>
      </c>
      <c r="D99" t="str">
        <f>"1250020160000604800"</f>
        <v>1250020160000604800</v>
      </c>
      <c r="E99" s="2">
        <v>42520</v>
      </c>
      <c r="F99">
        <v>0</v>
      </c>
      <c r="G99" s="2">
        <v>43152</v>
      </c>
      <c r="H99" s="2">
        <v>42558</v>
      </c>
      <c r="I99" t="s">
        <v>18</v>
      </c>
      <c r="J99">
        <v>46.12</v>
      </c>
      <c r="K99">
        <v>4.19</v>
      </c>
      <c r="L99">
        <v>41.93</v>
      </c>
      <c r="M99">
        <v>594</v>
      </c>
      <c r="N99" s="3">
        <v>24906.42</v>
      </c>
      <c r="O99" s="1" t="s">
        <v>17</v>
      </c>
    </row>
    <row r="100" spans="1:15" ht="15">
      <c r="A100" s="6" t="s">
        <v>15</v>
      </c>
      <c r="B100">
        <v>156</v>
      </c>
      <c r="C100" s="2">
        <v>43147</v>
      </c>
      <c r="D100" t="str">
        <f>"1250020160000606200"</f>
        <v>1250020160000606200</v>
      </c>
      <c r="E100" s="2">
        <v>42520</v>
      </c>
      <c r="F100">
        <v>0</v>
      </c>
      <c r="G100" s="2">
        <v>43152</v>
      </c>
      <c r="H100" s="2">
        <v>42559</v>
      </c>
      <c r="I100" t="s">
        <v>18</v>
      </c>
      <c r="J100">
        <v>42.47</v>
      </c>
      <c r="K100">
        <v>3.86</v>
      </c>
      <c r="L100">
        <v>38.61</v>
      </c>
      <c r="M100">
        <v>593</v>
      </c>
      <c r="N100" s="3">
        <v>22895.73</v>
      </c>
      <c r="O100" s="1" t="s">
        <v>17</v>
      </c>
    </row>
    <row r="101" spans="1:15" ht="15">
      <c r="A101" s="6" t="s">
        <v>15</v>
      </c>
      <c r="B101">
        <v>156</v>
      </c>
      <c r="C101" s="2">
        <v>43147</v>
      </c>
      <c r="D101" t="str">
        <f>"1250020160000607000"</f>
        <v>1250020160000607000</v>
      </c>
      <c r="E101" s="2">
        <v>42520</v>
      </c>
      <c r="F101">
        <v>0</v>
      </c>
      <c r="G101" s="2">
        <v>43152</v>
      </c>
      <c r="H101" s="2">
        <v>42559</v>
      </c>
      <c r="I101" t="s">
        <v>18</v>
      </c>
      <c r="J101">
        <v>18.7</v>
      </c>
      <c r="K101">
        <v>1.11</v>
      </c>
      <c r="L101">
        <v>17.59</v>
      </c>
      <c r="M101">
        <v>593</v>
      </c>
      <c r="N101" s="3">
        <v>10430.87</v>
      </c>
      <c r="O101" s="1" t="s">
        <v>17</v>
      </c>
    </row>
    <row r="102" spans="1:15" ht="15">
      <c r="A102" s="6" t="s">
        <v>15</v>
      </c>
      <c r="B102">
        <v>156</v>
      </c>
      <c r="C102" s="2">
        <v>43147</v>
      </c>
      <c r="D102" t="str">
        <f>"1250020160000606000"</f>
        <v>1250020160000606000</v>
      </c>
      <c r="E102" s="2">
        <v>42520</v>
      </c>
      <c r="F102">
        <v>0</v>
      </c>
      <c r="G102" s="2">
        <v>43152</v>
      </c>
      <c r="H102" s="2">
        <v>42559</v>
      </c>
      <c r="I102" t="s">
        <v>18</v>
      </c>
      <c r="J102">
        <v>54.48</v>
      </c>
      <c r="K102">
        <v>3.35</v>
      </c>
      <c r="L102">
        <v>51.13</v>
      </c>
      <c r="M102">
        <v>593</v>
      </c>
      <c r="N102" s="3">
        <v>30320.09</v>
      </c>
      <c r="O102" s="1" t="s">
        <v>17</v>
      </c>
    </row>
    <row r="103" spans="1:15" ht="15">
      <c r="A103" s="6" t="s">
        <v>15</v>
      </c>
      <c r="B103">
        <v>156</v>
      </c>
      <c r="C103" s="2">
        <v>43147</v>
      </c>
      <c r="D103" t="str">
        <f>"1250020160000606300"</f>
        <v>1250020160000606300</v>
      </c>
      <c r="E103" s="2">
        <v>42520</v>
      </c>
      <c r="F103">
        <v>0</v>
      </c>
      <c r="G103" s="2">
        <v>43152</v>
      </c>
      <c r="H103" s="2">
        <v>42559</v>
      </c>
      <c r="I103" t="s">
        <v>18</v>
      </c>
      <c r="J103">
        <v>85.16</v>
      </c>
      <c r="K103">
        <v>7.47</v>
      </c>
      <c r="L103">
        <v>77.69</v>
      </c>
      <c r="M103">
        <v>593</v>
      </c>
      <c r="N103" s="3">
        <v>46070.17</v>
      </c>
      <c r="O103" s="1" t="s">
        <v>17</v>
      </c>
    </row>
    <row r="104" spans="1:15" ht="15">
      <c r="A104" s="6" t="s">
        <v>15</v>
      </c>
      <c r="B104">
        <v>270</v>
      </c>
      <c r="C104" s="2">
        <v>43173</v>
      </c>
      <c r="D104" t="str">
        <f>"1250020160000967400"</f>
        <v>1250020160000967400</v>
      </c>
      <c r="E104" s="2">
        <v>42576</v>
      </c>
      <c r="F104">
        <v>0</v>
      </c>
      <c r="G104" s="2">
        <v>43174</v>
      </c>
      <c r="H104" s="2">
        <v>42604</v>
      </c>
      <c r="I104" t="s">
        <v>16</v>
      </c>
      <c r="J104">
        <v>9</v>
      </c>
      <c r="K104">
        <v>0.81</v>
      </c>
      <c r="L104">
        <v>8.19</v>
      </c>
      <c r="M104">
        <v>570</v>
      </c>
      <c r="N104" s="3">
        <v>4668.3</v>
      </c>
      <c r="O104" s="1" t="s">
        <v>17</v>
      </c>
    </row>
    <row r="105" spans="1:15" ht="15">
      <c r="A105" s="6" t="s">
        <v>15</v>
      </c>
      <c r="B105">
        <v>270</v>
      </c>
      <c r="C105" s="2">
        <v>43173</v>
      </c>
      <c r="D105" t="str">
        <f>"1250020160000968000"</f>
        <v>1250020160000968000</v>
      </c>
      <c r="E105" s="2">
        <v>42576</v>
      </c>
      <c r="F105">
        <v>0</v>
      </c>
      <c r="G105" s="2">
        <v>43174</v>
      </c>
      <c r="H105" s="2">
        <v>42611</v>
      </c>
      <c r="I105" t="s">
        <v>18</v>
      </c>
      <c r="J105">
        <v>169.24</v>
      </c>
      <c r="K105">
        <v>15.39</v>
      </c>
      <c r="L105">
        <v>153.85</v>
      </c>
      <c r="M105">
        <v>563</v>
      </c>
      <c r="N105" s="3">
        <v>86617.55</v>
      </c>
      <c r="O105" s="1" t="s">
        <v>17</v>
      </c>
    </row>
    <row r="106" spans="1:15" ht="15">
      <c r="A106" s="6" t="s">
        <v>15</v>
      </c>
      <c r="B106">
        <v>270</v>
      </c>
      <c r="C106" s="2">
        <v>43173</v>
      </c>
      <c r="D106" t="str">
        <f>"1250020160000968800"</f>
        <v>1250020160000968800</v>
      </c>
      <c r="E106" s="2">
        <v>42576</v>
      </c>
      <c r="F106">
        <v>0</v>
      </c>
      <c r="G106" s="2">
        <v>43174</v>
      </c>
      <c r="H106" s="2">
        <v>42611</v>
      </c>
      <c r="I106" t="s">
        <v>18</v>
      </c>
      <c r="J106">
        <v>9.88</v>
      </c>
      <c r="K106">
        <v>0.9</v>
      </c>
      <c r="L106">
        <v>8.98</v>
      </c>
      <c r="M106">
        <v>563</v>
      </c>
      <c r="N106" s="3">
        <v>5055.74</v>
      </c>
      <c r="O106" s="1" t="s">
        <v>17</v>
      </c>
    </row>
    <row r="107" spans="1:15" ht="15">
      <c r="A107" s="6" t="s">
        <v>15</v>
      </c>
      <c r="B107">
        <v>269</v>
      </c>
      <c r="C107" s="2">
        <v>43173</v>
      </c>
      <c r="D107" t="str">
        <f>"1250020160000969200"</f>
        <v>1250020160000969200</v>
      </c>
      <c r="E107" s="2">
        <v>42576</v>
      </c>
      <c r="F107">
        <v>0</v>
      </c>
      <c r="G107" s="2">
        <v>43174</v>
      </c>
      <c r="H107" s="2">
        <v>42611</v>
      </c>
      <c r="I107" t="s">
        <v>18</v>
      </c>
      <c r="J107">
        <v>425.38</v>
      </c>
      <c r="K107">
        <v>38.67</v>
      </c>
      <c r="L107">
        <v>386.71</v>
      </c>
      <c r="M107">
        <v>563</v>
      </c>
      <c r="N107" s="3">
        <v>217717.73</v>
      </c>
      <c r="O107" s="1" t="s">
        <v>17</v>
      </c>
    </row>
    <row r="108" spans="1:15" ht="15">
      <c r="A108" s="6" t="s">
        <v>15</v>
      </c>
      <c r="B108">
        <v>269</v>
      </c>
      <c r="C108" s="2">
        <v>43173</v>
      </c>
      <c r="D108" t="str">
        <f>"1250020160000969300"</f>
        <v>1250020160000969300</v>
      </c>
      <c r="E108" s="2">
        <v>42576</v>
      </c>
      <c r="F108">
        <v>0</v>
      </c>
      <c r="G108" s="2">
        <v>43174</v>
      </c>
      <c r="H108" s="2">
        <v>42611</v>
      </c>
      <c r="I108" t="s">
        <v>18</v>
      </c>
      <c r="J108">
        <v>25.39</v>
      </c>
      <c r="K108">
        <v>2.31</v>
      </c>
      <c r="L108">
        <v>23.08</v>
      </c>
      <c r="M108">
        <v>563</v>
      </c>
      <c r="N108" s="3">
        <v>12994.04</v>
      </c>
      <c r="O108" s="1" t="s">
        <v>17</v>
      </c>
    </row>
    <row r="109" spans="1:15" ht="15">
      <c r="A109" s="6" t="s">
        <v>15</v>
      </c>
      <c r="B109">
        <v>269</v>
      </c>
      <c r="C109" s="2">
        <v>43173</v>
      </c>
      <c r="D109" t="str">
        <f>"1250020160000968100"</f>
        <v>1250020160000968100</v>
      </c>
      <c r="E109" s="2">
        <v>42576</v>
      </c>
      <c r="F109">
        <v>0</v>
      </c>
      <c r="G109" s="2">
        <v>43174</v>
      </c>
      <c r="H109" s="2">
        <v>42611</v>
      </c>
      <c r="I109" t="s">
        <v>18</v>
      </c>
      <c r="J109">
        <v>54.68</v>
      </c>
      <c r="K109">
        <v>4.98</v>
      </c>
      <c r="L109">
        <v>49.7</v>
      </c>
      <c r="M109">
        <v>563</v>
      </c>
      <c r="N109" s="3">
        <v>27981.1</v>
      </c>
      <c r="O109" s="1" t="s">
        <v>17</v>
      </c>
    </row>
    <row r="110" spans="1:15" ht="15">
      <c r="A110" s="6" t="s">
        <v>15</v>
      </c>
      <c r="B110">
        <v>270</v>
      </c>
      <c r="C110" s="2">
        <v>43173</v>
      </c>
      <c r="D110" t="str">
        <f>"1250020160000968900"</f>
        <v>1250020160000968900</v>
      </c>
      <c r="E110" s="2">
        <v>42576</v>
      </c>
      <c r="F110">
        <v>0</v>
      </c>
      <c r="G110" s="2">
        <v>43174</v>
      </c>
      <c r="H110" s="2">
        <v>42611</v>
      </c>
      <c r="I110" t="s">
        <v>18</v>
      </c>
      <c r="J110">
        <v>7.19</v>
      </c>
      <c r="K110">
        <v>0.66</v>
      </c>
      <c r="L110">
        <v>6.53</v>
      </c>
      <c r="M110">
        <v>563</v>
      </c>
      <c r="N110" s="3">
        <v>3676.39</v>
      </c>
      <c r="O110" s="1" t="s">
        <v>17</v>
      </c>
    </row>
    <row r="111" spans="1:15" ht="15">
      <c r="A111" s="6" t="s">
        <v>15</v>
      </c>
      <c r="B111">
        <v>270</v>
      </c>
      <c r="C111" s="2">
        <v>43173</v>
      </c>
      <c r="D111" t="str">
        <f>"1250020160000967300"</f>
        <v>1250020160000967300</v>
      </c>
      <c r="E111" s="2">
        <v>42576</v>
      </c>
      <c r="F111">
        <v>0</v>
      </c>
      <c r="G111" s="2">
        <v>43174</v>
      </c>
      <c r="H111" s="2">
        <v>42611</v>
      </c>
      <c r="I111" t="s">
        <v>18</v>
      </c>
      <c r="J111">
        <v>14.92</v>
      </c>
      <c r="K111">
        <v>1.36</v>
      </c>
      <c r="L111">
        <v>13.56</v>
      </c>
      <c r="M111">
        <v>563</v>
      </c>
      <c r="N111" s="3">
        <v>7634.28</v>
      </c>
      <c r="O111" s="1" t="s">
        <v>17</v>
      </c>
    </row>
    <row r="112" spans="1:15" ht="15">
      <c r="A112" s="6" t="s">
        <v>15</v>
      </c>
      <c r="B112">
        <v>270</v>
      </c>
      <c r="C112" s="2">
        <v>43173</v>
      </c>
      <c r="D112" t="str">
        <f>"1250020160000967800"</f>
        <v>1250020160000967800</v>
      </c>
      <c r="E112" s="2">
        <v>42576</v>
      </c>
      <c r="F112">
        <v>0</v>
      </c>
      <c r="G112" s="2">
        <v>43174</v>
      </c>
      <c r="H112" s="2">
        <v>42611</v>
      </c>
      <c r="I112" t="s">
        <v>18</v>
      </c>
      <c r="J112">
        <v>7.9</v>
      </c>
      <c r="K112">
        <v>0.72</v>
      </c>
      <c r="L112">
        <v>7.18</v>
      </c>
      <c r="M112">
        <v>563</v>
      </c>
      <c r="N112" s="3">
        <v>4042.34</v>
      </c>
      <c r="O112" s="1" t="s">
        <v>17</v>
      </c>
    </row>
    <row r="113" spans="1:15" ht="15">
      <c r="A113" s="6" t="s">
        <v>15</v>
      </c>
      <c r="B113">
        <v>270</v>
      </c>
      <c r="C113" s="2">
        <v>43173</v>
      </c>
      <c r="D113" t="str">
        <f>"1250020160000968700"</f>
        <v>1250020160000968700</v>
      </c>
      <c r="E113" s="2">
        <v>42576</v>
      </c>
      <c r="F113">
        <v>0</v>
      </c>
      <c r="G113" s="2">
        <v>43174</v>
      </c>
      <c r="H113" s="2">
        <v>42611</v>
      </c>
      <c r="I113" t="s">
        <v>18</v>
      </c>
      <c r="J113">
        <v>12.28</v>
      </c>
      <c r="K113">
        <v>1.12</v>
      </c>
      <c r="L113">
        <v>11.16</v>
      </c>
      <c r="M113">
        <v>563</v>
      </c>
      <c r="N113" s="3">
        <v>6283.08</v>
      </c>
      <c r="O113" s="1" t="s">
        <v>17</v>
      </c>
    </row>
    <row r="114" spans="1:15" ht="15">
      <c r="A114" s="6" t="s">
        <v>15</v>
      </c>
      <c r="B114">
        <v>270</v>
      </c>
      <c r="C114" s="2">
        <v>43173</v>
      </c>
      <c r="D114" t="str">
        <f>"1250020160000967700"</f>
        <v>1250020160000967700</v>
      </c>
      <c r="E114" s="2">
        <v>42576</v>
      </c>
      <c r="F114">
        <v>0</v>
      </c>
      <c r="G114" s="2">
        <v>43174</v>
      </c>
      <c r="H114" s="2">
        <v>42611</v>
      </c>
      <c r="I114" t="s">
        <v>18</v>
      </c>
      <c r="J114">
        <v>63.7</v>
      </c>
      <c r="K114">
        <v>5.79</v>
      </c>
      <c r="L114">
        <v>57.91</v>
      </c>
      <c r="M114">
        <v>563</v>
      </c>
      <c r="N114" s="3">
        <v>32603.33</v>
      </c>
      <c r="O114" s="1" t="s">
        <v>17</v>
      </c>
    </row>
    <row r="115" spans="1:15" ht="15">
      <c r="A115" s="6" t="s">
        <v>15</v>
      </c>
      <c r="B115">
        <v>156</v>
      </c>
      <c r="C115" s="2">
        <v>43147</v>
      </c>
      <c r="D115" t="str">
        <f>"1250020160000967500"</f>
        <v>1250020160000967500</v>
      </c>
      <c r="E115" s="2">
        <v>42576</v>
      </c>
      <c r="F115">
        <v>0</v>
      </c>
      <c r="G115" s="2">
        <v>43152</v>
      </c>
      <c r="H115" s="2">
        <v>42604</v>
      </c>
      <c r="I115" t="s">
        <v>16</v>
      </c>
      <c r="J115">
        <v>38.43</v>
      </c>
      <c r="K115">
        <v>3.49</v>
      </c>
      <c r="L115">
        <v>34.94</v>
      </c>
      <c r="M115">
        <v>548</v>
      </c>
      <c r="N115" s="3">
        <v>19147.12</v>
      </c>
      <c r="O115" s="1" t="s">
        <v>17</v>
      </c>
    </row>
    <row r="116" spans="1:15" ht="15">
      <c r="A116" s="6" t="s">
        <v>15</v>
      </c>
      <c r="B116">
        <v>157</v>
      </c>
      <c r="C116" s="2">
        <v>43147</v>
      </c>
      <c r="D116" t="str">
        <f>"1250020160000969100"</f>
        <v>1250020160000969100</v>
      </c>
      <c r="E116" s="2">
        <v>42576</v>
      </c>
      <c r="F116">
        <v>0</v>
      </c>
      <c r="G116" s="2">
        <v>43152</v>
      </c>
      <c r="H116" s="2">
        <v>42611</v>
      </c>
      <c r="I116" t="s">
        <v>18</v>
      </c>
      <c r="J116">
        <v>3.29</v>
      </c>
      <c r="K116">
        <v>0.31</v>
      </c>
      <c r="L116">
        <v>2.98</v>
      </c>
      <c r="M116">
        <v>541</v>
      </c>
      <c r="N116" s="3">
        <v>1612.18</v>
      </c>
      <c r="O116" s="1" t="s">
        <v>17</v>
      </c>
    </row>
    <row r="117" spans="1:15" ht="15">
      <c r="A117" s="6" t="s">
        <v>15</v>
      </c>
      <c r="B117">
        <v>157</v>
      </c>
      <c r="C117" s="2">
        <v>43147</v>
      </c>
      <c r="D117" t="str">
        <f>"1250020160000968300"</f>
        <v>1250020160000968300</v>
      </c>
      <c r="E117" s="2">
        <v>42576</v>
      </c>
      <c r="F117">
        <v>0</v>
      </c>
      <c r="G117" s="2">
        <v>43152</v>
      </c>
      <c r="H117" s="2">
        <v>42611</v>
      </c>
      <c r="I117" t="s">
        <v>18</v>
      </c>
      <c r="J117">
        <v>18.23</v>
      </c>
      <c r="K117">
        <v>-2.03</v>
      </c>
      <c r="L117">
        <v>20.26</v>
      </c>
      <c r="M117">
        <v>541</v>
      </c>
      <c r="N117" s="3">
        <v>10960.66</v>
      </c>
      <c r="O117" s="1" t="s">
        <v>17</v>
      </c>
    </row>
    <row r="118" spans="1:15" ht="15">
      <c r="A118" s="6" t="s">
        <v>15</v>
      </c>
      <c r="B118">
        <v>156</v>
      </c>
      <c r="C118" s="2">
        <v>43147</v>
      </c>
      <c r="D118" t="str">
        <f>"1250020160000967600"</f>
        <v>1250020160000967600</v>
      </c>
      <c r="E118" s="2">
        <v>42576</v>
      </c>
      <c r="F118">
        <v>0</v>
      </c>
      <c r="G118" s="2">
        <v>43152</v>
      </c>
      <c r="H118" s="2">
        <v>42611</v>
      </c>
      <c r="I118" t="s">
        <v>18</v>
      </c>
      <c r="J118">
        <v>7.9</v>
      </c>
      <c r="K118">
        <v>0.72</v>
      </c>
      <c r="L118">
        <v>7.18</v>
      </c>
      <c r="M118">
        <v>541</v>
      </c>
      <c r="N118" s="3">
        <v>3884.38</v>
      </c>
      <c r="O118" s="1" t="s">
        <v>17</v>
      </c>
    </row>
    <row r="119" spans="1:15" ht="15">
      <c r="A119" s="6" t="s">
        <v>15</v>
      </c>
      <c r="B119">
        <v>156</v>
      </c>
      <c r="C119" s="2">
        <v>43147</v>
      </c>
      <c r="D119" t="str">
        <f>"1250020160000968200"</f>
        <v>1250020160000968200</v>
      </c>
      <c r="E119" s="2">
        <v>42576</v>
      </c>
      <c r="F119">
        <v>0</v>
      </c>
      <c r="G119" s="2">
        <v>43152</v>
      </c>
      <c r="H119" s="2">
        <v>42611</v>
      </c>
      <c r="I119" t="s">
        <v>18</v>
      </c>
      <c r="J119">
        <v>13.29</v>
      </c>
      <c r="K119">
        <v>1.2</v>
      </c>
      <c r="L119">
        <v>12.09</v>
      </c>
      <c r="M119">
        <v>541</v>
      </c>
      <c r="N119" s="3">
        <v>6540.69</v>
      </c>
      <c r="O119" s="1" t="s">
        <v>17</v>
      </c>
    </row>
    <row r="120" spans="1:15" ht="15">
      <c r="A120" s="6" t="s">
        <v>15</v>
      </c>
      <c r="B120">
        <v>156</v>
      </c>
      <c r="C120" s="2">
        <v>43147</v>
      </c>
      <c r="D120" t="str">
        <f>"1250020160000967900"</f>
        <v>1250020160000967900</v>
      </c>
      <c r="E120" s="2">
        <v>42576</v>
      </c>
      <c r="F120">
        <v>0</v>
      </c>
      <c r="G120" s="2">
        <v>43152</v>
      </c>
      <c r="H120" s="2">
        <v>42611</v>
      </c>
      <c r="I120" t="s">
        <v>18</v>
      </c>
      <c r="J120">
        <v>1.61</v>
      </c>
      <c r="K120">
        <v>0.15</v>
      </c>
      <c r="L120">
        <v>1.46</v>
      </c>
      <c r="M120">
        <v>541</v>
      </c>
      <c r="N120">
        <v>789.86</v>
      </c>
      <c r="O120" s="1" t="s">
        <v>17</v>
      </c>
    </row>
    <row r="121" spans="1:15" ht="15">
      <c r="A121" s="6" t="s">
        <v>15</v>
      </c>
      <c r="B121">
        <v>156</v>
      </c>
      <c r="C121" s="2">
        <v>43147</v>
      </c>
      <c r="D121" t="str">
        <f>"1250020160000968600"</f>
        <v>1250020160000968600</v>
      </c>
      <c r="E121" s="2">
        <v>42576</v>
      </c>
      <c r="F121">
        <v>0</v>
      </c>
      <c r="G121" s="2">
        <v>43152</v>
      </c>
      <c r="H121" s="2">
        <v>42611</v>
      </c>
      <c r="I121" t="s">
        <v>18</v>
      </c>
      <c r="J121">
        <v>40.58</v>
      </c>
      <c r="K121">
        <v>3.69</v>
      </c>
      <c r="L121">
        <v>36.89</v>
      </c>
      <c r="M121">
        <v>541</v>
      </c>
      <c r="N121" s="3">
        <v>19957.49</v>
      </c>
      <c r="O121" s="1" t="s">
        <v>17</v>
      </c>
    </row>
    <row r="122" spans="1:15" ht="15">
      <c r="A122" s="6" t="s">
        <v>15</v>
      </c>
      <c r="B122">
        <v>156</v>
      </c>
      <c r="C122" s="2">
        <v>43147</v>
      </c>
      <c r="D122" t="str">
        <f>"1250020160000968500"</f>
        <v>1250020160000968500</v>
      </c>
      <c r="E122" s="2">
        <v>42576</v>
      </c>
      <c r="F122">
        <v>0</v>
      </c>
      <c r="G122" s="2">
        <v>43152</v>
      </c>
      <c r="H122" s="2">
        <v>42611</v>
      </c>
      <c r="I122" t="s">
        <v>18</v>
      </c>
      <c r="J122">
        <v>7.9</v>
      </c>
      <c r="K122">
        <v>0.72</v>
      </c>
      <c r="L122">
        <v>7.18</v>
      </c>
      <c r="M122">
        <v>541</v>
      </c>
      <c r="N122" s="3">
        <v>3884.38</v>
      </c>
      <c r="O122" s="1" t="s">
        <v>17</v>
      </c>
    </row>
    <row r="123" spans="1:15" ht="15">
      <c r="A123" s="6" t="s">
        <v>15</v>
      </c>
      <c r="B123">
        <v>156</v>
      </c>
      <c r="C123" s="2">
        <v>43147</v>
      </c>
      <c r="D123" t="str">
        <f>"1250020160000967000"</f>
        <v>1250020160000967000</v>
      </c>
      <c r="E123" s="2">
        <v>42576</v>
      </c>
      <c r="F123">
        <v>0</v>
      </c>
      <c r="G123" s="2">
        <v>43152</v>
      </c>
      <c r="H123" s="2">
        <v>42611</v>
      </c>
      <c r="I123" t="s">
        <v>18</v>
      </c>
      <c r="J123">
        <v>7.9</v>
      </c>
      <c r="K123">
        <v>0.72</v>
      </c>
      <c r="L123">
        <v>7.18</v>
      </c>
      <c r="M123">
        <v>541</v>
      </c>
      <c r="N123" s="3">
        <v>3884.38</v>
      </c>
      <c r="O123" s="1" t="s">
        <v>17</v>
      </c>
    </row>
    <row r="124" spans="1:15" ht="15">
      <c r="A124" s="6" t="s">
        <v>15</v>
      </c>
      <c r="B124">
        <v>157</v>
      </c>
      <c r="C124" s="2">
        <v>43147</v>
      </c>
      <c r="D124" t="str">
        <f>"1250020160000969400"</f>
        <v>1250020160000969400</v>
      </c>
      <c r="E124" s="2">
        <v>42576</v>
      </c>
      <c r="F124">
        <v>0</v>
      </c>
      <c r="G124" s="2">
        <v>43152</v>
      </c>
      <c r="H124" s="2">
        <v>42611</v>
      </c>
      <c r="I124" t="s">
        <v>18</v>
      </c>
      <c r="J124">
        <v>9</v>
      </c>
      <c r="K124">
        <v>0.82</v>
      </c>
      <c r="L124">
        <v>8.18</v>
      </c>
      <c r="M124">
        <v>541</v>
      </c>
      <c r="N124" s="3">
        <v>4425.38</v>
      </c>
      <c r="O124" s="1" t="s">
        <v>17</v>
      </c>
    </row>
    <row r="125" spans="1:15" ht="15">
      <c r="A125" s="6" t="s">
        <v>15</v>
      </c>
      <c r="B125">
        <v>156</v>
      </c>
      <c r="C125" s="2">
        <v>43147</v>
      </c>
      <c r="D125" t="str">
        <f>"1250020160000968400"</f>
        <v>1250020160000968400</v>
      </c>
      <c r="E125" s="2">
        <v>42576</v>
      </c>
      <c r="F125">
        <v>0</v>
      </c>
      <c r="G125" s="2">
        <v>43152</v>
      </c>
      <c r="H125" s="2">
        <v>42611</v>
      </c>
      <c r="I125" t="s">
        <v>18</v>
      </c>
      <c r="J125">
        <v>9.03</v>
      </c>
      <c r="K125">
        <v>0.82</v>
      </c>
      <c r="L125">
        <v>8.21</v>
      </c>
      <c r="M125">
        <v>541</v>
      </c>
      <c r="N125" s="3">
        <v>4441.61</v>
      </c>
      <c r="O125" s="1" t="s">
        <v>17</v>
      </c>
    </row>
    <row r="126" spans="1:15" ht="15">
      <c r="A126" s="6" t="s">
        <v>15</v>
      </c>
      <c r="B126">
        <v>271</v>
      </c>
      <c r="C126" s="2">
        <v>43173</v>
      </c>
      <c r="D126" t="str">
        <f>"1250020160001333600"</f>
        <v>1250020160001333600</v>
      </c>
      <c r="E126" s="2">
        <v>42633</v>
      </c>
      <c r="F126">
        <v>0</v>
      </c>
      <c r="G126" s="2">
        <v>43174</v>
      </c>
      <c r="H126" s="2">
        <v>42671</v>
      </c>
      <c r="I126" t="s">
        <v>18</v>
      </c>
      <c r="J126">
        <v>8.03</v>
      </c>
      <c r="K126">
        <v>0.73</v>
      </c>
      <c r="L126">
        <v>7.3</v>
      </c>
      <c r="M126">
        <v>503</v>
      </c>
      <c r="N126" s="3">
        <v>3671.9</v>
      </c>
      <c r="O126" s="1" t="s">
        <v>17</v>
      </c>
    </row>
    <row r="127" spans="1:15" ht="15">
      <c r="A127" s="6" t="s">
        <v>15</v>
      </c>
      <c r="B127">
        <v>271</v>
      </c>
      <c r="C127" s="2">
        <v>43173</v>
      </c>
      <c r="D127" t="str">
        <f>"1250020160001333500"</f>
        <v>1250020160001333500</v>
      </c>
      <c r="E127" s="2">
        <v>42633</v>
      </c>
      <c r="F127">
        <v>0</v>
      </c>
      <c r="G127" s="2">
        <v>43174</v>
      </c>
      <c r="H127" s="2">
        <v>42671</v>
      </c>
      <c r="I127" t="s">
        <v>18</v>
      </c>
      <c r="J127">
        <v>125.22</v>
      </c>
      <c r="K127">
        <v>11.39</v>
      </c>
      <c r="L127">
        <v>113.83</v>
      </c>
      <c r="M127">
        <v>503</v>
      </c>
      <c r="N127" s="3">
        <v>57256.49</v>
      </c>
      <c r="O127" s="1" t="s">
        <v>17</v>
      </c>
    </row>
    <row r="128" spans="1:15" ht="15">
      <c r="A128" s="6" t="s">
        <v>15</v>
      </c>
      <c r="B128">
        <v>271</v>
      </c>
      <c r="C128" s="2">
        <v>43173</v>
      </c>
      <c r="D128" t="str">
        <f>"1250020160001333100"</f>
        <v>1250020160001333100</v>
      </c>
      <c r="E128" s="2">
        <v>42633</v>
      </c>
      <c r="F128">
        <v>0</v>
      </c>
      <c r="G128" s="2">
        <v>43174</v>
      </c>
      <c r="H128" s="2">
        <v>42671</v>
      </c>
      <c r="I128" t="s">
        <v>18</v>
      </c>
      <c r="J128">
        <v>15.93</v>
      </c>
      <c r="K128">
        <v>1.45</v>
      </c>
      <c r="L128">
        <v>14.48</v>
      </c>
      <c r="M128">
        <v>503</v>
      </c>
      <c r="N128" s="3">
        <v>7283.44</v>
      </c>
      <c r="O128" s="1" t="s">
        <v>17</v>
      </c>
    </row>
    <row r="129" spans="1:15" ht="15">
      <c r="A129" s="6" t="s">
        <v>15</v>
      </c>
      <c r="B129">
        <v>271</v>
      </c>
      <c r="C129" s="2">
        <v>43173</v>
      </c>
      <c r="D129" t="str">
        <f>"1250020160001334500"</f>
        <v>1250020160001334500</v>
      </c>
      <c r="E129" s="2">
        <v>42633</v>
      </c>
      <c r="F129">
        <v>0</v>
      </c>
      <c r="G129" s="2">
        <v>43174</v>
      </c>
      <c r="H129" s="2">
        <v>42671</v>
      </c>
      <c r="I129" t="s">
        <v>18</v>
      </c>
      <c r="J129">
        <v>10.96</v>
      </c>
      <c r="K129">
        <v>1</v>
      </c>
      <c r="L129">
        <v>9.96</v>
      </c>
      <c r="M129">
        <v>503</v>
      </c>
      <c r="N129" s="3">
        <v>5009.88</v>
      </c>
      <c r="O129" s="1" t="s">
        <v>17</v>
      </c>
    </row>
    <row r="130" spans="1:15" ht="15">
      <c r="A130" s="6" t="s">
        <v>15</v>
      </c>
      <c r="B130">
        <v>271</v>
      </c>
      <c r="C130" s="2">
        <v>43173</v>
      </c>
      <c r="D130" t="str">
        <f>"1250020160001334600"</f>
        <v>1250020160001334600</v>
      </c>
      <c r="E130" s="2">
        <v>42633</v>
      </c>
      <c r="F130">
        <v>0</v>
      </c>
      <c r="G130" s="2">
        <v>43174</v>
      </c>
      <c r="H130" s="2">
        <v>42671</v>
      </c>
      <c r="I130" t="s">
        <v>18</v>
      </c>
      <c r="J130">
        <v>8.03</v>
      </c>
      <c r="K130">
        <v>0.73</v>
      </c>
      <c r="L130">
        <v>7.3</v>
      </c>
      <c r="M130">
        <v>503</v>
      </c>
      <c r="N130" s="3">
        <v>3671.9</v>
      </c>
      <c r="O130" s="1" t="s">
        <v>17</v>
      </c>
    </row>
    <row r="131" spans="1:15" ht="15">
      <c r="A131" s="6" t="s">
        <v>15</v>
      </c>
      <c r="B131">
        <v>271</v>
      </c>
      <c r="C131" s="2">
        <v>43173</v>
      </c>
      <c r="D131" t="str">
        <f>"1250020160001333800"</f>
        <v>1250020160001333800</v>
      </c>
      <c r="E131" s="2">
        <v>42633</v>
      </c>
      <c r="F131">
        <v>0</v>
      </c>
      <c r="G131" s="2">
        <v>43174</v>
      </c>
      <c r="H131" s="2">
        <v>42671</v>
      </c>
      <c r="I131" t="s">
        <v>18</v>
      </c>
      <c r="J131">
        <v>170.17</v>
      </c>
      <c r="K131">
        <v>15.47</v>
      </c>
      <c r="L131">
        <v>154.7</v>
      </c>
      <c r="M131">
        <v>503</v>
      </c>
      <c r="N131" s="3">
        <v>77814.1</v>
      </c>
      <c r="O131" s="1" t="s">
        <v>17</v>
      </c>
    </row>
    <row r="132" spans="1:15" ht="15">
      <c r="A132" s="6" t="s">
        <v>15</v>
      </c>
      <c r="B132">
        <v>269</v>
      </c>
      <c r="C132" s="2">
        <v>43173</v>
      </c>
      <c r="D132" t="str">
        <f>"1250020160001333900"</f>
        <v>1250020160001333900</v>
      </c>
      <c r="E132" s="2">
        <v>42633</v>
      </c>
      <c r="F132">
        <v>0</v>
      </c>
      <c r="G132" s="2">
        <v>43174</v>
      </c>
      <c r="H132" s="2">
        <v>42671</v>
      </c>
      <c r="I132" t="s">
        <v>18</v>
      </c>
      <c r="J132">
        <v>16.81</v>
      </c>
      <c r="K132">
        <v>1.53</v>
      </c>
      <c r="L132">
        <v>15.28</v>
      </c>
      <c r="M132">
        <v>503</v>
      </c>
      <c r="N132" s="3">
        <v>7685.84</v>
      </c>
      <c r="O132" s="1" t="s">
        <v>17</v>
      </c>
    </row>
    <row r="133" spans="1:15" ht="15">
      <c r="A133" s="6" t="s">
        <v>15</v>
      </c>
      <c r="B133">
        <v>271</v>
      </c>
      <c r="C133" s="2">
        <v>43173</v>
      </c>
      <c r="D133" t="str">
        <f>"1250020160001333200"</f>
        <v>1250020160001333200</v>
      </c>
      <c r="E133" s="2">
        <v>42633</v>
      </c>
      <c r="F133">
        <v>0</v>
      </c>
      <c r="G133" s="2">
        <v>43174</v>
      </c>
      <c r="H133" s="2">
        <v>42671</v>
      </c>
      <c r="I133" t="s">
        <v>18</v>
      </c>
      <c r="J133">
        <v>8.03</v>
      </c>
      <c r="K133">
        <v>0.73</v>
      </c>
      <c r="L133">
        <v>7.3</v>
      </c>
      <c r="M133">
        <v>503</v>
      </c>
      <c r="N133" s="3">
        <v>3671.9</v>
      </c>
      <c r="O133" s="1" t="s">
        <v>17</v>
      </c>
    </row>
    <row r="134" spans="1:15" ht="15">
      <c r="A134" s="6" t="s">
        <v>15</v>
      </c>
      <c r="B134">
        <v>269</v>
      </c>
      <c r="C134" s="2">
        <v>43173</v>
      </c>
      <c r="D134" t="str">
        <f>"1250020160001335000"</f>
        <v>1250020160001335000</v>
      </c>
      <c r="E134" s="2">
        <v>42633</v>
      </c>
      <c r="F134">
        <v>0</v>
      </c>
      <c r="G134" s="2">
        <v>43174</v>
      </c>
      <c r="H134" s="2">
        <v>42671</v>
      </c>
      <c r="I134" t="s">
        <v>18</v>
      </c>
      <c r="J134">
        <v>114.05</v>
      </c>
      <c r="K134">
        <v>10.37</v>
      </c>
      <c r="L134">
        <v>103.68</v>
      </c>
      <c r="M134">
        <v>503</v>
      </c>
      <c r="N134" s="3">
        <v>52151.04</v>
      </c>
      <c r="O134" s="1" t="s">
        <v>17</v>
      </c>
    </row>
    <row r="135" spans="1:15" ht="15">
      <c r="A135" s="6" t="s">
        <v>15</v>
      </c>
      <c r="B135">
        <v>271</v>
      </c>
      <c r="C135" s="2">
        <v>43173</v>
      </c>
      <c r="D135" t="str">
        <f>"1250020160001334800"</f>
        <v>1250020160001334800</v>
      </c>
      <c r="E135" s="2">
        <v>42633</v>
      </c>
      <c r="F135">
        <v>0</v>
      </c>
      <c r="G135" s="2">
        <v>43174</v>
      </c>
      <c r="H135" s="2">
        <v>42671</v>
      </c>
      <c r="I135" t="s">
        <v>18</v>
      </c>
      <c r="J135">
        <v>20.32</v>
      </c>
      <c r="K135">
        <v>1.85</v>
      </c>
      <c r="L135">
        <v>18.47</v>
      </c>
      <c r="M135">
        <v>503</v>
      </c>
      <c r="N135" s="3">
        <v>9290.41</v>
      </c>
      <c r="O135" s="1" t="s">
        <v>17</v>
      </c>
    </row>
    <row r="136" spans="1:15" ht="15">
      <c r="A136" s="6" t="s">
        <v>15</v>
      </c>
      <c r="B136">
        <v>271</v>
      </c>
      <c r="C136" s="2">
        <v>43173</v>
      </c>
      <c r="D136" t="str">
        <f>"1250020160001334700"</f>
        <v>1250020160001334700</v>
      </c>
      <c r="E136" s="2">
        <v>42633</v>
      </c>
      <c r="F136">
        <v>0</v>
      </c>
      <c r="G136" s="2">
        <v>43174</v>
      </c>
      <c r="H136" s="2">
        <v>42671</v>
      </c>
      <c r="I136" t="s">
        <v>18</v>
      </c>
      <c r="J136">
        <v>8.18</v>
      </c>
      <c r="K136">
        <v>0.74</v>
      </c>
      <c r="L136">
        <v>7.44</v>
      </c>
      <c r="M136">
        <v>503</v>
      </c>
      <c r="N136" s="3">
        <v>3742.32</v>
      </c>
      <c r="O136" s="1" t="s">
        <v>17</v>
      </c>
    </row>
    <row r="137" spans="1:15" ht="15">
      <c r="A137" s="6" t="s">
        <v>15</v>
      </c>
      <c r="B137">
        <v>269</v>
      </c>
      <c r="C137" s="2">
        <v>43173</v>
      </c>
      <c r="D137" t="str">
        <f>"1250020160001335100"</f>
        <v>1250020160001335100</v>
      </c>
      <c r="E137" s="2">
        <v>42633</v>
      </c>
      <c r="F137">
        <v>0</v>
      </c>
      <c r="G137" s="2">
        <v>43174</v>
      </c>
      <c r="H137" s="2">
        <v>42671</v>
      </c>
      <c r="I137" t="s">
        <v>18</v>
      </c>
      <c r="J137">
        <v>22.66</v>
      </c>
      <c r="K137">
        <v>2.06</v>
      </c>
      <c r="L137">
        <v>20.6</v>
      </c>
      <c r="M137">
        <v>503</v>
      </c>
      <c r="N137" s="3">
        <v>10361.8</v>
      </c>
      <c r="O137" s="1" t="s">
        <v>17</v>
      </c>
    </row>
    <row r="138" spans="1:15" ht="15">
      <c r="A138" s="6" t="s">
        <v>15</v>
      </c>
      <c r="B138">
        <v>157</v>
      </c>
      <c r="C138" s="2">
        <v>43147</v>
      </c>
      <c r="D138" t="str">
        <f>"1250020160001334100"</f>
        <v>1250020160001334100</v>
      </c>
      <c r="E138" s="2">
        <v>42633</v>
      </c>
      <c r="F138">
        <v>0</v>
      </c>
      <c r="G138" s="2">
        <v>43152</v>
      </c>
      <c r="H138" s="2">
        <v>42671</v>
      </c>
      <c r="I138" t="s">
        <v>18</v>
      </c>
      <c r="J138">
        <v>22.9</v>
      </c>
      <c r="K138">
        <v>2.08</v>
      </c>
      <c r="L138">
        <v>20.82</v>
      </c>
      <c r="M138">
        <v>481</v>
      </c>
      <c r="N138" s="3">
        <v>10014.42</v>
      </c>
      <c r="O138" s="1" t="s">
        <v>17</v>
      </c>
    </row>
    <row r="139" spans="1:15" ht="15">
      <c r="A139" s="6" t="s">
        <v>15</v>
      </c>
      <c r="B139">
        <v>157</v>
      </c>
      <c r="C139" s="2">
        <v>43147</v>
      </c>
      <c r="D139" t="str">
        <f>"1250020160001333700"</f>
        <v>1250020160001333700</v>
      </c>
      <c r="E139" s="2">
        <v>42633</v>
      </c>
      <c r="F139">
        <v>0</v>
      </c>
      <c r="G139" s="2">
        <v>43152</v>
      </c>
      <c r="H139" s="2">
        <v>42671</v>
      </c>
      <c r="I139" t="s">
        <v>18</v>
      </c>
      <c r="J139">
        <v>24.77</v>
      </c>
      <c r="K139">
        <v>2.25</v>
      </c>
      <c r="L139">
        <v>22.52</v>
      </c>
      <c r="M139">
        <v>481</v>
      </c>
      <c r="N139" s="3">
        <v>10832.12</v>
      </c>
      <c r="O139" s="1" t="s">
        <v>17</v>
      </c>
    </row>
    <row r="140" spans="1:15" ht="15">
      <c r="A140" s="6" t="s">
        <v>15</v>
      </c>
      <c r="B140">
        <v>157</v>
      </c>
      <c r="C140" s="2">
        <v>43147</v>
      </c>
      <c r="D140" t="str">
        <f>"1250020160001335200"</f>
        <v>1250020160001335200</v>
      </c>
      <c r="E140" s="2">
        <v>42633</v>
      </c>
      <c r="F140">
        <v>0</v>
      </c>
      <c r="G140" s="2">
        <v>43152</v>
      </c>
      <c r="H140" s="2">
        <v>42671</v>
      </c>
      <c r="I140" t="s">
        <v>18</v>
      </c>
      <c r="J140">
        <v>8.03</v>
      </c>
      <c r="K140">
        <v>0.73</v>
      </c>
      <c r="L140">
        <v>7.3</v>
      </c>
      <c r="M140">
        <v>481</v>
      </c>
      <c r="N140" s="3">
        <v>3511.3</v>
      </c>
      <c r="O140" s="1" t="s">
        <v>17</v>
      </c>
    </row>
    <row r="141" spans="1:15" ht="15">
      <c r="A141" s="6" t="s">
        <v>15</v>
      </c>
      <c r="B141">
        <v>157</v>
      </c>
      <c r="C141" s="2">
        <v>43147</v>
      </c>
      <c r="D141" t="str">
        <f>"1250020160001334200"</f>
        <v>1250020160001334200</v>
      </c>
      <c r="E141" s="2">
        <v>42633</v>
      </c>
      <c r="F141">
        <v>0</v>
      </c>
      <c r="G141" s="2">
        <v>43152</v>
      </c>
      <c r="H141" s="2">
        <v>42671</v>
      </c>
      <c r="I141" t="s">
        <v>18</v>
      </c>
      <c r="J141">
        <v>21.6</v>
      </c>
      <c r="K141">
        <v>1.96</v>
      </c>
      <c r="L141">
        <v>19.64</v>
      </c>
      <c r="M141">
        <v>481</v>
      </c>
      <c r="N141" s="3">
        <v>9446.84</v>
      </c>
      <c r="O141" s="1" t="s">
        <v>17</v>
      </c>
    </row>
    <row r="142" spans="1:15" ht="15">
      <c r="A142" s="6" t="s">
        <v>15</v>
      </c>
      <c r="B142">
        <v>157</v>
      </c>
      <c r="C142" s="2">
        <v>43147</v>
      </c>
      <c r="D142" t="str">
        <f>"1250020160001334900"</f>
        <v>1250020160001334900</v>
      </c>
      <c r="E142" s="2">
        <v>42633</v>
      </c>
      <c r="F142">
        <v>0</v>
      </c>
      <c r="G142" s="2">
        <v>43152</v>
      </c>
      <c r="H142" s="2">
        <v>42671</v>
      </c>
      <c r="I142" t="s">
        <v>18</v>
      </c>
      <c r="J142">
        <v>4.11</v>
      </c>
      <c r="K142">
        <v>0.37</v>
      </c>
      <c r="L142">
        <v>3.74</v>
      </c>
      <c r="M142">
        <v>481</v>
      </c>
      <c r="N142" s="3">
        <v>1798.94</v>
      </c>
      <c r="O142" s="1" t="s">
        <v>17</v>
      </c>
    </row>
    <row r="143" spans="1:15" ht="15">
      <c r="A143" s="6" t="s">
        <v>15</v>
      </c>
      <c r="B143">
        <v>157</v>
      </c>
      <c r="C143" s="2">
        <v>43147</v>
      </c>
      <c r="D143" t="str">
        <f>"1250020160001334000"</f>
        <v>1250020160001334000</v>
      </c>
      <c r="E143" s="2">
        <v>42633</v>
      </c>
      <c r="F143">
        <v>0</v>
      </c>
      <c r="G143" s="2">
        <v>43152</v>
      </c>
      <c r="H143" s="2">
        <v>42671</v>
      </c>
      <c r="I143" t="s">
        <v>18</v>
      </c>
      <c r="J143">
        <v>9.9</v>
      </c>
      <c r="K143">
        <v>0.9</v>
      </c>
      <c r="L143">
        <v>9</v>
      </c>
      <c r="M143">
        <v>481</v>
      </c>
      <c r="N143" s="3">
        <v>4329</v>
      </c>
      <c r="O143" s="1" t="s">
        <v>17</v>
      </c>
    </row>
    <row r="144" spans="1:15" ht="15">
      <c r="A144" s="6" t="s">
        <v>15</v>
      </c>
      <c r="B144">
        <v>157</v>
      </c>
      <c r="C144" s="2">
        <v>43147</v>
      </c>
      <c r="D144" t="str">
        <f>"1250020160001333400"</f>
        <v>1250020160001333400</v>
      </c>
      <c r="E144" s="2">
        <v>42633</v>
      </c>
      <c r="F144">
        <v>0</v>
      </c>
      <c r="G144" s="2">
        <v>43152</v>
      </c>
      <c r="H144" s="2">
        <v>42671</v>
      </c>
      <c r="I144" t="s">
        <v>18</v>
      </c>
      <c r="J144">
        <v>11.08</v>
      </c>
      <c r="K144">
        <v>1</v>
      </c>
      <c r="L144">
        <v>10.08</v>
      </c>
      <c r="M144">
        <v>481</v>
      </c>
      <c r="N144" s="3">
        <v>4848.48</v>
      </c>
      <c r="O144" s="1" t="s">
        <v>17</v>
      </c>
    </row>
    <row r="145" spans="1:15" ht="15">
      <c r="A145" s="6" t="s">
        <v>15</v>
      </c>
      <c r="B145">
        <v>157</v>
      </c>
      <c r="C145" s="2">
        <v>43147</v>
      </c>
      <c r="D145" t="str">
        <f>"1250020160001333300"</f>
        <v>1250020160001333300</v>
      </c>
      <c r="E145" s="2">
        <v>42633</v>
      </c>
      <c r="F145">
        <v>0</v>
      </c>
      <c r="G145" s="2">
        <v>43152</v>
      </c>
      <c r="H145" s="2">
        <v>42671</v>
      </c>
      <c r="I145" t="s">
        <v>18</v>
      </c>
      <c r="J145">
        <v>22.9</v>
      </c>
      <c r="K145">
        <v>2.08</v>
      </c>
      <c r="L145">
        <v>20.82</v>
      </c>
      <c r="M145">
        <v>481</v>
      </c>
      <c r="N145" s="3">
        <v>10014.42</v>
      </c>
      <c r="O145" s="1" t="s">
        <v>17</v>
      </c>
    </row>
    <row r="146" spans="1:15" ht="15">
      <c r="A146" s="6" t="s">
        <v>15</v>
      </c>
      <c r="B146">
        <v>157</v>
      </c>
      <c r="C146" s="2">
        <v>43147</v>
      </c>
      <c r="D146" t="str">
        <f>"1250020160001334400"</f>
        <v>1250020160001334400</v>
      </c>
      <c r="E146" s="2">
        <v>42633</v>
      </c>
      <c r="F146">
        <v>0</v>
      </c>
      <c r="G146" s="2">
        <v>43152</v>
      </c>
      <c r="H146" s="2">
        <v>42671</v>
      </c>
      <c r="I146" t="s">
        <v>18</v>
      </c>
      <c r="J146">
        <v>28.44</v>
      </c>
      <c r="K146">
        <v>2.58</v>
      </c>
      <c r="L146">
        <v>25.86</v>
      </c>
      <c r="M146">
        <v>481</v>
      </c>
      <c r="N146" s="3">
        <v>12438.66</v>
      </c>
      <c r="O146" s="1" t="s">
        <v>17</v>
      </c>
    </row>
    <row r="147" spans="1:15" ht="15">
      <c r="A147" s="6" t="s">
        <v>15</v>
      </c>
      <c r="B147">
        <v>157</v>
      </c>
      <c r="C147" s="2">
        <v>43147</v>
      </c>
      <c r="D147" t="str">
        <f>"1250020160001332800"</f>
        <v>1250020160001332800</v>
      </c>
      <c r="E147" s="2">
        <v>42633</v>
      </c>
      <c r="F147">
        <v>0</v>
      </c>
      <c r="G147" s="2">
        <v>43152</v>
      </c>
      <c r="H147" s="2">
        <v>42671</v>
      </c>
      <c r="I147" t="s">
        <v>18</v>
      </c>
      <c r="J147">
        <v>67.81</v>
      </c>
      <c r="K147">
        <v>6.16</v>
      </c>
      <c r="L147">
        <v>61.65</v>
      </c>
      <c r="M147">
        <v>481</v>
      </c>
      <c r="N147" s="3">
        <v>29653.65</v>
      </c>
      <c r="O147" s="1" t="s">
        <v>17</v>
      </c>
    </row>
    <row r="148" spans="1:15" ht="15">
      <c r="A148" s="6" t="s">
        <v>15</v>
      </c>
      <c r="B148">
        <v>157</v>
      </c>
      <c r="C148" s="2">
        <v>43147</v>
      </c>
      <c r="D148" t="str">
        <f>"1250020160001334300"</f>
        <v>1250020160001334300</v>
      </c>
      <c r="E148" s="2">
        <v>42633</v>
      </c>
      <c r="F148">
        <v>0</v>
      </c>
      <c r="G148" s="2">
        <v>43152</v>
      </c>
      <c r="H148" s="2">
        <v>42671</v>
      </c>
      <c r="I148" t="s">
        <v>18</v>
      </c>
      <c r="J148">
        <v>19.06</v>
      </c>
      <c r="K148">
        <v>1.73</v>
      </c>
      <c r="L148">
        <v>17.33</v>
      </c>
      <c r="M148">
        <v>481</v>
      </c>
      <c r="N148" s="3">
        <v>8335.73</v>
      </c>
      <c r="O148" s="1" t="s">
        <v>17</v>
      </c>
    </row>
    <row r="149" spans="1:15" ht="15">
      <c r="A149" s="6" t="s">
        <v>15</v>
      </c>
      <c r="B149">
        <v>271</v>
      </c>
      <c r="C149" s="2">
        <v>43173</v>
      </c>
      <c r="D149" t="str">
        <f>"1250020160001696200"</f>
        <v>1250020160001696200</v>
      </c>
      <c r="E149" s="2">
        <v>42688</v>
      </c>
      <c r="F149">
        <v>0</v>
      </c>
      <c r="G149" s="2">
        <v>43174</v>
      </c>
      <c r="H149" s="2">
        <v>42721</v>
      </c>
      <c r="I149" t="s">
        <v>18</v>
      </c>
      <c r="J149">
        <v>19.16</v>
      </c>
      <c r="K149">
        <v>1.74</v>
      </c>
      <c r="L149">
        <v>17.42</v>
      </c>
      <c r="M149">
        <v>453</v>
      </c>
      <c r="N149" s="3">
        <v>7891.26</v>
      </c>
      <c r="O149" s="1" t="s">
        <v>17</v>
      </c>
    </row>
    <row r="150" spans="1:15" ht="15">
      <c r="A150" s="6" t="s">
        <v>15</v>
      </c>
      <c r="B150">
        <v>271</v>
      </c>
      <c r="C150" s="2">
        <v>43173</v>
      </c>
      <c r="D150" t="str">
        <f>"1250020160001696100"</f>
        <v>1250020160001696100</v>
      </c>
      <c r="E150" s="2">
        <v>42688</v>
      </c>
      <c r="F150">
        <v>0</v>
      </c>
      <c r="G150" s="2">
        <v>43174</v>
      </c>
      <c r="H150" s="2">
        <v>42721</v>
      </c>
      <c r="I150" t="s">
        <v>18</v>
      </c>
      <c r="J150">
        <v>7.76</v>
      </c>
      <c r="K150">
        <v>0.71</v>
      </c>
      <c r="L150">
        <v>7.05</v>
      </c>
      <c r="M150">
        <v>453</v>
      </c>
      <c r="N150" s="3">
        <v>3193.65</v>
      </c>
      <c r="O150" s="1" t="s">
        <v>17</v>
      </c>
    </row>
    <row r="151" spans="1:15" ht="15">
      <c r="A151" s="6" t="s">
        <v>15</v>
      </c>
      <c r="B151">
        <v>269</v>
      </c>
      <c r="C151" s="2">
        <v>43173</v>
      </c>
      <c r="D151" t="str">
        <f>"1250020160001696600"</f>
        <v>1250020160001696600</v>
      </c>
      <c r="E151" s="2">
        <v>42688</v>
      </c>
      <c r="F151">
        <v>0</v>
      </c>
      <c r="G151" s="2">
        <v>43174</v>
      </c>
      <c r="H151" s="2">
        <v>42721</v>
      </c>
      <c r="I151" t="s">
        <v>18</v>
      </c>
      <c r="J151">
        <v>21.87</v>
      </c>
      <c r="K151">
        <v>1.99</v>
      </c>
      <c r="L151">
        <v>19.88</v>
      </c>
      <c r="M151">
        <v>453</v>
      </c>
      <c r="N151" s="3">
        <v>9005.64</v>
      </c>
      <c r="O151" s="1" t="s">
        <v>17</v>
      </c>
    </row>
    <row r="152" spans="1:15" ht="15">
      <c r="A152" s="6" t="s">
        <v>15</v>
      </c>
      <c r="B152">
        <v>271</v>
      </c>
      <c r="C152" s="2">
        <v>43173</v>
      </c>
      <c r="D152" t="str">
        <f>"1250020160001695000"</f>
        <v>1250020160001695000</v>
      </c>
      <c r="E152" s="2">
        <v>42688</v>
      </c>
      <c r="F152">
        <v>0</v>
      </c>
      <c r="G152" s="2">
        <v>43174</v>
      </c>
      <c r="H152" s="2">
        <v>42721</v>
      </c>
      <c r="I152" t="s">
        <v>18</v>
      </c>
      <c r="J152">
        <v>61.7</v>
      </c>
      <c r="K152">
        <v>5.61</v>
      </c>
      <c r="L152">
        <v>56.09</v>
      </c>
      <c r="M152">
        <v>453</v>
      </c>
      <c r="N152" s="3">
        <v>25408.77</v>
      </c>
      <c r="O152" s="1" t="s">
        <v>17</v>
      </c>
    </row>
    <row r="153" spans="1:15" ht="15">
      <c r="A153" s="6" t="s">
        <v>15</v>
      </c>
      <c r="B153">
        <v>269</v>
      </c>
      <c r="C153" s="2">
        <v>43173</v>
      </c>
      <c r="D153" t="str">
        <f>"1250020160001695400"</f>
        <v>1250020160001695400</v>
      </c>
      <c r="E153" s="2">
        <v>42688</v>
      </c>
      <c r="F153">
        <v>0</v>
      </c>
      <c r="G153" s="2">
        <v>43174</v>
      </c>
      <c r="H153" s="2">
        <v>42721</v>
      </c>
      <c r="I153" t="s">
        <v>18</v>
      </c>
      <c r="J153">
        <v>16.53</v>
      </c>
      <c r="K153">
        <v>1.5</v>
      </c>
      <c r="L153">
        <v>15.03</v>
      </c>
      <c r="M153">
        <v>453</v>
      </c>
      <c r="N153" s="3">
        <v>6808.59</v>
      </c>
      <c r="O153" s="1" t="s">
        <v>17</v>
      </c>
    </row>
    <row r="154" spans="1:15" ht="15">
      <c r="A154" s="6" t="s">
        <v>15</v>
      </c>
      <c r="B154">
        <v>271</v>
      </c>
      <c r="C154" s="2">
        <v>43173</v>
      </c>
      <c r="D154" t="str">
        <f>"1250020160001694700"</f>
        <v>1250020160001694700</v>
      </c>
      <c r="E154" s="2">
        <v>42688</v>
      </c>
      <c r="F154">
        <v>0</v>
      </c>
      <c r="G154" s="2">
        <v>43174</v>
      </c>
      <c r="H154" s="2">
        <v>42721</v>
      </c>
      <c r="I154" t="s">
        <v>18</v>
      </c>
      <c r="J154">
        <v>7.76</v>
      </c>
      <c r="K154">
        <v>0.71</v>
      </c>
      <c r="L154">
        <v>7.05</v>
      </c>
      <c r="M154">
        <v>453</v>
      </c>
      <c r="N154" s="3">
        <v>3193.65</v>
      </c>
      <c r="O154" s="1" t="s">
        <v>17</v>
      </c>
    </row>
    <row r="155" spans="1:15" ht="15">
      <c r="A155" s="6" t="s">
        <v>15</v>
      </c>
      <c r="B155">
        <v>271</v>
      </c>
      <c r="C155" s="2">
        <v>43173</v>
      </c>
      <c r="D155" t="str">
        <f>"1250020160001694600"</f>
        <v>1250020160001694600</v>
      </c>
      <c r="E155" s="2">
        <v>42688</v>
      </c>
      <c r="F155">
        <v>0</v>
      </c>
      <c r="G155" s="2">
        <v>43174</v>
      </c>
      <c r="H155" s="2">
        <v>42721</v>
      </c>
      <c r="I155" t="s">
        <v>18</v>
      </c>
      <c r="J155">
        <v>14.77</v>
      </c>
      <c r="K155">
        <v>1.34</v>
      </c>
      <c r="L155">
        <v>13.43</v>
      </c>
      <c r="M155">
        <v>453</v>
      </c>
      <c r="N155" s="3">
        <v>6083.79</v>
      </c>
      <c r="O155" s="1" t="s">
        <v>17</v>
      </c>
    </row>
    <row r="156" spans="1:15" ht="15">
      <c r="A156" s="6" t="s">
        <v>15</v>
      </c>
      <c r="B156">
        <v>271</v>
      </c>
      <c r="C156" s="2">
        <v>43173</v>
      </c>
      <c r="D156" t="str">
        <f>"1250020160001695300"</f>
        <v>1250020160001695300</v>
      </c>
      <c r="E156" s="2">
        <v>42688</v>
      </c>
      <c r="F156">
        <v>0</v>
      </c>
      <c r="G156" s="2">
        <v>43174</v>
      </c>
      <c r="H156" s="2">
        <v>42721</v>
      </c>
      <c r="I156" t="s">
        <v>18</v>
      </c>
      <c r="J156">
        <v>140.27</v>
      </c>
      <c r="K156">
        <v>12.75</v>
      </c>
      <c r="L156">
        <v>127.52</v>
      </c>
      <c r="M156">
        <v>453</v>
      </c>
      <c r="N156" s="3">
        <v>57766.56</v>
      </c>
      <c r="O156" s="1" t="s">
        <v>17</v>
      </c>
    </row>
    <row r="157" spans="1:15" ht="15">
      <c r="A157" s="6" t="s">
        <v>15</v>
      </c>
      <c r="B157">
        <v>271</v>
      </c>
      <c r="C157" s="2">
        <v>43173</v>
      </c>
      <c r="D157" t="str">
        <f>"1250020160001696000"</f>
        <v>1250020160001696000</v>
      </c>
      <c r="E157" s="2">
        <v>42688</v>
      </c>
      <c r="F157">
        <v>0</v>
      </c>
      <c r="G157" s="2">
        <v>43174</v>
      </c>
      <c r="H157" s="2">
        <v>42721</v>
      </c>
      <c r="I157" t="s">
        <v>18</v>
      </c>
      <c r="J157">
        <v>7.76</v>
      </c>
      <c r="K157">
        <v>0.71</v>
      </c>
      <c r="L157">
        <v>7.05</v>
      </c>
      <c r="M157">
        <v>453</v>
      </c>
      <c r="N157" s="3">
        <v>3193.65</v>
      </c>
      <c r="O157" s="1" t="s">
        <v>17</v>
      </c>
    </row>
    <row r="158" spans="1:15" ht="15">
      <c r="A158" s="6" t="s">
        <v>15</v>
      </c>
      <c r="B158">
        <v>269</v>
      </c>
      <c r="C158" s="2">
        <v>43173</v>
      </c>
      <c r="D158" t="str">
        <f>"1250020160001696500"</f>
        <v>1250020160001696500</v>
      </c>
      <c r="E158" s="2">
        <v>42688</v>
      </c>
      <c r="F158">
        <v>0</v>
      </c>
      <c r="G158" s="2">
        <v>43174</v>
      </c>
      <c r="H158" s="2">
        <v>42721</v>
      </c>
      <c r="I158" t="s">
        <v>18</v>
      </c>
      <c r="J158">
        <v>110.06</v>
      </c>
      <c r="K158">
        <v>10.01</v>
      </c>
      <c r="L158">
        <v>100.05</v>
      </c>
      <c r="M158">
        <v>453</v>
      </c>
      <c r="N158" s="3">
        <v>45322.65</v>
      </c>
      <c r="O158" s="1" t="s">
        <v>17</v>
      </c>
    </row>
    <row r="159" spans="1:15" ht="15">
      <c r="A159" s="6" t="s">
        <v>15</v>
      </c>
      <c r="B159">
        <v>271</v>
      </c>
      <c r="C159" s="2">
        <v>43173</v>
      </c>
      <c r="D159" t="str">
        <f>"1250020160001695100"</f>
        <v>1250020160001695100</v>
      </c>
      <c r="E159" s="2">
        <v>42688</v>
      </c>
      <c r="F159">
        <v>0</v>
      </c>
      <c r="G159" s="2">
        <v>43174</v>
      </c>
      <c r="H159" s="2">
        <v>42721</v>
      </c>
      <c r="I159" t="s">
        <v>18</v>
      </c>
      <c r="J159">
        <v>7.76</v>
      </c>
      <c r="K159">
        <v>0.71</v>
      </c>
      <c r="L159">
        <v>7.05</v>
      </c>
      <c r="M159">
        <v>453</v>
      </c>
      <c r="N159" s="3">
        <v>3193.65</v>
      </c>
      <c r="O159" s="1" t="s">
        <v>17</v>
      </c>
    </row>
    <row r="160" spans="1:15" ht="15">
      <c r="A160" s="6" t="s">
        <v>15</v>
      </c>
      <c r="B160">
        <v>271</v>
      </c>
      <c r="C160" s="2">
        <v>43173</v>
      </c>
      <c r="D160" t="str">
        <f>"1250020160001695900"</f>
        <v>1250020160001695900</v>
      </c>
      <c r="E160" s="2">
        <v>42688</v>
      </c>
      <c r="F160">
        <v>0</v>
      </c>
      <c r="G160" s="2">
        <v>43174</v>
      </c>
      <c r="H160" s="2">
        <v>42721</v>
      </c>
      <c r="I160" t="s">
        <v>18</v>
      </c>
      <c r="J160">
        <v>10.58</v>
      </c>
      <c r="K160">
        <v>0.96</v>
      </c>
      <c r="L160">
        <v>9.62</v>
      </c>
      <c r="M160">
        <v>453</v>
      </c>
      <c r="N160" s="3">
        <v>4357.86</v>
      </c>
      <c r="O160" s="1" t="s">
        <v>17</v>
      </c>
    </row>
    <row r="161" spans="1:15" ht="15">
      <c r="A161" s="6" t="s">
        <v>15</v>
      </c>
      <c r="B161">
        <v>157</v>
      </c>
      <c r="C161" s="2">
        <v>43147</v>
      </c>
      <c r="D161" t="str">
        <f>"1250020160001694800"</f>
        <v>1250020160001694800</v>
      </c>
      <c r="E161" s="2">
        <v>42688</v>
      </c>
      <c r="F161">
        <v>0</v>
      </c>
      <c r="G161" s="2">
        <v>43152</v>
      </c>
      <c r="H161" s="2">
        <v>42721</v>
      </c>
      <c r="I161" t="s">
        <v>18</v>
      </c>
      <c r="J161">
        <v>22.63</v>
      </c>
      <c r="K161">
        <v>2.06</v>
      </c>
      <c r="L161">
        <v>20.57</v>
      </c>
      <c r="M161">
        <v>431</v>
      </c>
      <c r="N161" s="3">
        <v>8865.67</v>
      </c>
      <c r="O161" s="1" t="s">
        <v>17</v>
      </c>
    </row>
    <row r="162" spans="1:15" ht="15">
      <c r="A162" s="6" t="s">
        <v>15</v>
      </c>
      <c r="B162">
        <v>157</v>
      </c>
      <c r="C162" s="2">
        <v>43147</v>
      </c>
      <c r="D162" t="str">
        <f>"1250020160001695600"</f>
        <v>1250020160001695600</v>
      </c>
      <c r="E162" s="2">
        <v>42688</v>
      </c>
      <c r="F162">
        <v>0</v>
      </c>
      <c r="G162" s="2">
        <v>43152</v>
      </c>
      <c r="H162" s="2">
        <v>42721</v>
      </c>
      <c r="I162" t="s">
        <v>18</v>
      </c>
      <c r="J162">
        <v>20.78</v>
      </c>
      <c r="K162">
        <v>1.89</v>
      </c>
      <c r="L162">
        <v>18.89</v>
      </c>
      <c r="M162">
        <v>431</v>
      </c>
      <c r="N162" s="3">
        <v>8141.59</v>
      </c>
      <c r="O162" s="1" t="s">
        <v>17</v>
      </c>
    </row>
    <row r="163" spans="1:15" ht="15">
      <c r="A163" s="6" t="s">
        <v>15</v>
      </c>
      <c r="B163">
        <v>157</v>
      </c>
      <c r="C163" s="2">
        <v>43147</v>
      </c>
      <c r="D163" t="str">
        <f>"1250020160001695500"</f>
        <v>1250020160001695500</v>
      </c>
      <c r="E163" s="2">
        <v>42688</v>
      </c>
      <c r="F163">
        <v>0</v>
      </c>
      <c r="G163" s="2">
        <v>43152</v>
      </c>
      <c r="H163" s="2">
        <v>42721</v>
      </c>
      <c r="I163" t="s">
        <v>18</v>
      </c>
      <c r="J163">
        <v>9.63</v>
      </c>
      <c r="K163">
        <v>0.88</v>
      </c>
      <c r="L163">
        <v>8.75</v>
      </c>
      <c r="M163">
        <v>431</v>
      </c>
      <c r="N163" s="3">
        <v>3771.25</v>
      </c>
      <c r="O163" s="1" t="s">
        <v>17</v>
      </c>
    </row>
    <row r="164" spans="1:15" ht="15">
      <c r="A164" s="6" t="s">
        <v>15</v>
      </c>
      <c r="B164">
        <v>157</v>
      </c>
      <c r="C164" s="2">
        <v>43147</v>
      </c>
      <c r="D164" t="str">
        <f>"1250020160001696300"</f>
        <v>1250020160001696300</v>
      </c>
      <c r="E164" s="2">
        <v>42688</v>
      </c>
      <c r="F164">
        <v>0</v>
      </c>
      <c r="G164" s="2">
        <v>43152</v>
      </c>
      <c r="H164" s="2">
        <v>42721</v>
      </c>
      <c r="I164" t="s">
        <v>18</v>
      </c>
      <c r="J164">
        <v>7.47</v>
      </c>
      <c r="K164">
        <v>0.68</v>
      </c>
      <c r="L164">
        <v>6.79</v>
      </c>
      <c r="M164">
        <v>431</v>
      </c>
      <c r="N164" s="3">
        <v>2926.49</v>
      </c>
      <c r="O164" s="1" t="s">
        <v>17</v>
      </c>
    </row>
    <row r="165" spans="1:15" ht="15">
      <c r="A165" s="6" t="s">
        <v>15</v>
      </c>
      <c r="B165">
        <v>157</v>
      </c>
      <c r="C165" s="2">
        <v>43147</v>
      </c>
      <c r="D165" t="str">
        <f>"1250020160001695700"</f>
        <v>1250020160001695700</v>
      </c>
      <c r="E165" s="2">
        <v>42688</v>
      </c>
      <c r="F165">
        <v>0</v>
      </c>
      <c r="G165" s="2">
        <v>43152</v>
      </c>
      <c r="H165" s="2">
        <v>42721</v>
      </c>
      <c r="I165" t="s">
        <v>18</v>
      </c>
      <c r="J165">
        <v>18.76</v>
      </c>
      <c r="K165">
        <v>1.71</v>
      </c>
      <c r="L165">
        <v>17.05</v>
      </c>
      <c r="M165">
        <v>431</v>
      </c>
      <c r="N165" s="3">
        <v>7348.55</v>
      </c>
      <c r="O165" s="1" t="s">
        <v>17</v>
      </c>
    </row>
    <row r="166" spans="1:15" ht="15">
      <c r="A166" s="6" t="s">
        <v>15</v>
      </c>
      <c r="B166">
        <v>157</v>
      </c>
      <c r="C166" s="2">
        <v>43147</v>
      </c>
      <c r="D166" t="str">
        <f>"1250020160001696700"</f>
        <v>1250020160001696700</v>
      </c>
      <c r="E166" s="2">
        <v>42688</v>
      </c>
      <c r="F166">
        <v>0</v>
      </c>
      <c r="G166" s="2">
        <v>43152</v>
      </c>
      <c r="H166" s="2">
        <v>42721</v>
      </c>
      <c r="I166" t="s">
        <v>18</v>
      </c>
      <c r="J166">
        <v>7.76</v>
      </c>
      <c r="K166">
        <v>0.71</v>
      </c>
      <c r="L166">
        <v>7.05</v>
      </c>
      <c r="M166">
        <v>431</v>
      </c>
      <c r="N166" s="3">
        <v>3038.55</v>
      </c>
      <c r="O166" s="1" t="s">
        <v>17</v>
      </c>
    </row>
    <row r="167" spans="1:15" ht="15">
      <c r="A167" s="6" t="s">
        <v>15</v>
      </c>
      <c r="B167">
        <v>157</v>
      </c>
      <c r="C167" s="2">
        <v>43147</v>
      </c>
      <c r="D167" t="str">
        <f>"1250020160001695200"</f>
        <v>1250020160001695200</v>
      </c>
      <c r="E167" s="2">
        <v>42688</v>
      </c>
      <c r="F167">
        <v>0</v>
      </c>
      <c r="G167" s="2">
        <v>43152</v>
      </c>
      <c r="H167" s="2">
        <v>42721</v>
      </c>
      <c r="I167" t="s">
        <v>18</v>
      </c>
      <c r="J167">
        <v>22.63</v>
      </c>
      <c r="K167">
        <v>2.06</v>
      </c>
      <c r="L167">
        <v>20.57</v>
      </c>
      <c r="M167">
        <v>431</v>
      </c>
      <c r="N167" s="3">
        <v>8865.67</v>
      </c>
      <c r="O167" s="1" t="s">
        <v>17</v>
      </c>
    </row>
    <row r="168" spans="1:15" ht="15">
      <c r="A168" s="6" t="s">
        <v>15</v>
      </c>
      <c r="B168">
        <v>157</v>
      </c>
      <c r="C168" s="2">
        <v>43147</v>
      </c>
      <c r="D168" t="str">
        <f>"1250020160001695800"</f>
        <v>1250020160001695800</v>
      </c>
      <c r="E168" s="2">
        <v>42688</v>
      </c>
      <c r="F168">
        <v>0</v>
      </c>
      <c r="G168" s="2">
        <v>43152</v>
      </c>
      <c r="H168" s="2">
        <v>42721</v>
      </c>
      <c r="I168" t="s">
        <v>18</v>
      </c>
      <c r="J168">
        <v>32.55</v>
      </c>
      <c r="K168">
        <v>2.96</v>
      </c>
      <c r="L168">
        <v>29.59</v>
      </c>
      <c r="M168">
        <v>431</v>
      </c>
      <c r="N168" s="3">
        <v>12753.29</v>
      </c>
      <c r="O168" s="1" t="s">
        <v>17</v>
      </c>
    </row>
    <row r="169" spans="1:15" ht="15">
      <c r="A169" s="6" t="s">
        <v>15</v>
      </c>
      <c r="B169">
        <v>157</v>
      </c>
      <c r="C169" s="2">
        <v>43147</v>
      </c>
      <c r="D169" t="str">
        <f>"1250020160001696400"</f>
        <v>1250020160001696400</v>
      </c>
      <c r="E169" s="2">
        <v>42688</v>
      </c>
      <c r="F169">
        <v>0</v>
      </c>
      <c r="G169" s="2">
        <v>43152</v>
      </c>
      <c r="H169" s="2">
        <v>42721</v>
      </c>
      <c r="I169" t="s">
        <v>18</v>
      </c>
      <c r="J169">
        <v>2.83</v>
      </c>
      <c r="K169">
        <v>0.26</v>
      </c>
      <c r="L169">
        <v>2.57</v>
      </c>
      <c r="M169">
        <v>431</v>
      </c>
      <c r="N169" s="3">
        <v>1107.67</v>
      </c>
      <c r="O169" s="1" t="s">
        <v>17</v>
      </c>
    </row>
    <row r="170" spans="1:15" ht="15">
      <c r="A170" s="6" t="s">
        <v>15</v>
      </c>
      <c r="B170">
        <v>157</v>
      </c>
      <c r="C170" s="2">
        <v>43147</v>
      </c>
      <c r="D170" t="str">
        <f>"1250020160001694900"</f>
        <v>1250020160001694900</v>
      </c>
      <c r="E170" s="2">
        <v>42688</v>
      </c>
      <c r="F170">
        <v>0</v>
      </c>
      <c r="G170" s="2">
        <v>43152</v>
      </c>
      <c r="H170" s="2">
        <v>42721</v>
      </c>
      <c r="I170" t="s">
        <v>18</v>
      </c>
      <c r="J170">
        <v>7.76</v>
      </c>
      <c r="K170">
        <v>0.71</v>
      </c>
      <c r="L170">
        <v>7.05</v>
      </c>
      <c r="M170">
        <v>431</v>
      </c>
      <c r="N170" s="3">
        <v>3038.55</v>
      </c>
      <c r="O170" s="1" t="s">
        <v>17</v>
      </c>
    </row>
    <row r="171" spans="1:15" ht="15">
      <c r="A171" s="6" t="s">
        <v>15</v>
      </c>
      <c r="B171">
        <v>157</v>
      </c>
      <c r="C171" s="2">
        <v>43147</v>
      </c>
      <c r="D171" t="str">
        <f>"1250020160001694300"</f>
        <v>1250020160001694300</v>
      </c>
      <c r="E171" s="2">
        <v>42688</v>
      </c>
      <c r="F171">
        <v>0</v>
      </c>
      <c r="G171" s="2">
        <v>43152</v>
      </c>
      <c r="H171" s="2">
        <v>42721</v>
      </c>
      <c r="I171" t="s">
        <v>18</v>
      </c>
      <c r="J171">
        <v>17.41</v>
      </c>
      <c r="K171">
        <v>1.58</v>
      </c>
      <c r="L171">
        <v>15.83</v>
      </c>
      <c r="M171">
        <v>431</v>
      </c>
      <c r="N171" s="3">
        <v>6822.73</v>
      </c>
      <c r="O171" s="1" t="s">
        <v>17</v>
      </c>
    </row>
    <row r="172" spans="1:15" ht="15">
      <c r="A172" s="6" t="s">
        <v>19</v>
      </c>
      <c r="B172">
        <v>399</v>
      </c>
      <c r="C172" s="2">
        <v>43186</v>
      </c>
      <c r="D172" t="s">
        <v>20</v>
      </c>
      <c r="E172" s="2">
        <v>42726</v>
      </c>
      <c r="F172">
        <v>0</v>
      </c>
      <c r="G172" s="2">
        <v>43186</v>
      </c>
      <c r="H172" s="2">
        <v>42757</v>
      </c>
      <c r="I172" t="s">
        <v>18</v>
      </c>
      <c r="J172">
        <v>374.56</v>
      </c>
      <c r="K172">
        <v>34.05</v>
      </c>
      <c r="L172">
        <v>340.51</v>
      </c>
      <c r="M172">
        <v>429</v>
      </c>
      <c r="N172" s="3">
        <v>146078.79</v>
      </c>
      <c r="O172" s="1" t="s">
        <v>21</v>
      </c>
    </row>
    <row r="173" spans="1:15" ht="15">
      <c r="A173" s="6" t="s">
        <v>22</v>
      </c>
      <c r="B173">
        <v>358</v>
      </c>
      <c r="C173" s="2">
        <v>43186</v>
      </c>
      <c r="D173" t="s">
        <v>23</v>
      </c>
      <c r="E173" s="2">
        <v>42767</v>
      </c>
      <c r="F173">
        <v>0</v>
      </c>
      <c r="G173" s="2">
        <v>43186</v>
      </c>
      <c r="H173" s="2">
        <v>42799</v>
      </c>
      <c r="I173" t="s">
        <v>16</v>
      </c>
      <c r="J173">
        <v>286.25</v>
      </c>
      <c r="K173">
        <v>51.62</v>
      </c>
      <c r="L173">
        <v>234.63</v>
      </c>
      <c r="M173">
        <v>387</v>
      </c>
      <c r="N173" s="3">
        <v>90801.81</v>
      </c>
      <c r="O173" s="1" t="s">
        <v>24</v>
      </c>
    </row>
    <row r="174" spans="1:15" ht="15">
      <c r="A174" s="6" t="s">
        <v>22</v>
      </c>
      <c r="B174">
        <v>358</v>
      </c>
      <c r="C174" s="2">
        <v>43186</v>
      </c>
      <c r="D174" t="s">
        <v>25</v>
      </c>
      <c r="E174" s="2">
        <v>42767</v>
      </c>
      <c r="F174">
        <v>0</v>
      </c>
      <c r="G174" s="2">
        <v>43186</v>
      </c>
      <c r="H174" s="2">
        <v>42799</v>
      </c>
      <c r="I174" t="s">
        <v>16</v>
      </c>
      <c r="J174">
        <v>351.82</v>
      </c>
      <c r="K174">
        <v>63.44</v>
      </c>
      <c r="L174">
        <v>288.38</v>
      </c>
      <c r="M174">
        <v>387</v>
      </c>
      <c r="N174" s="3">
        <v>111603.06</v>
      </c>
      <c r="O174" s="1" t="s">
        <v>24</v>
      </c>
    </row>
    <row r="175" spans="1:15" ht="28.8">
      <c r="A175" s="6" t="s">
        <v>26</v>
      </c>
      <c r="B175">
        <v>64</v>
      </c>
      <c r="C175" s="2">
        <v>43133</v>
      </c>
      <c r="D175" t="str">
        <f>"0000002"</f>
        <v>0000002</v>
      </c>
      <c r="E175" s="2">
        <v>42716</v>
      </c>
      <c r="F175">
        <v>0</v>
      </c>
      <c r="G175" s="2">
        <v>43133</v>
      </c>
      <c r="H175" s="2">
        <v>42749</v>
      </c>
      <c r="I175" t="s">
        <v>18</v>
      </c>
      <c r="J175">
        <v>244</v>
      </c>
      <c r="K175">
        <v>44</v>
      </c>
      <c r="L175">
        <v>200</v>
      </c>
      <c r="M175">
        <v>384</v>
      </c>
      <c r="N175" s="3">
        <v>76800</v>
      </c>
      <c r="O175" s="1" t="s">
        <v>27</v>
      </c>
    </row>
    <row r="176" spans="1:15" ht="15">
      <c r="A176" s="6" t="s">
        <v>28</v>
      </c>
      <c r="B176">
        <v>133</v>
      </c>
      <c r="C176" s="2">
        <v>43145</v>
      </c>
      <c r="D176" t="s">
        <v>29</v>
      </c>
      <c r="E176" s="2">
        <v>42734</v>
      </c>
      <c r="F176">
        <v>0</v>
      </c>
      <c r="G176" s="2">
        <v>43145</v>
      </c>
      <c r="H176" s="2">
        <v>42774</v>
      </c>
      <c r="I176" t="s">
        <v>18</v>
      </c>
      <c r="J176">
        <v>536</v>
      </c>
      <c r="K176">
        <v>96.66</v>
      </c>
      <c r="L176">
        <v>439.34</v>
      </c>
      <c r="M176">
        <v>371</v>
      </c>
      <c r="N176" s="3">
        <v>162995.14</v>
      </c>
      <c r="O176" s="1" t="s">
        <v>30</v>
      </c>
    </row>
    <row r="177" spans="1:15" ht="15">
      <c r="A177" s="6" t="s">
        <v>31</v>
      </c>
      <c r="B177">
        <v>189</v>
      </c>
      <c r="C177" s="2">
        <v>43151</v>
      </c>
      <c r="D177" t="s">
        <v>29</v>
      </c>
      <c r="E177" s="2">
        <v>42758</v>
      </c>
      <c r="F177">
        <v>0</v>
      </c>
      <c r="G177" s="2">
        <v>43152</v>
      </c>
      <c r="H177" s="2">
        <v>42788</v>
      </c>
      <c r="I177" t="s">
        <v>18</v>
      </c>
      <c r="J177" s="3">
        <v>1474.04</v>
      </c>
      <c r="K177">
        <v>0</v>
      </c>
      <c r="L177" s="3">
        <v>1474.04</v>
      </c>
      <c r="M177">
        <v>364</v>
      </c>
      <c r="N177" s="3">
        <v>536550.56</v>
      </c>
      <c r="O177" s="1" t="s">
        <v>32</v>
      </c>
    </row>
    <row r="178" spans="1:15" ht="15">
      <c r="A178" s="6" t="s">
        <v>22</v>
      </c>
      <c r="B178">
        <v>358</v>
      </c>
      <c r="C178" s="2">
        <v>43186</v>
      </c>
      <c r="D178" t="s">
        <v>33</v>
      </c>
      <c r="E178" s="2">
        <v>42796</v>
      </c>
      <c r="F178">
        <v>0</v>
      </c>
      <c r="G178" s="2">
        <v>43186</v>
      </c>
      <c r="H178" s="2">
        <v>42831</v>
      </c>
      <c r="I178" t="s">
        <v>16</v>
      </c>
      <c r="J178">
        <v>215.81</v>
      </c>
      <c r="K178">
        <v>38.92</v>
      </c>
      <c r="L178">
        <v>176.89</v>
      </c>
      <c r="M178">
        <v>355</v>
      </c>
      <c r="N178" s="3">
        <v>62795.95</v>
      </c>
      <c r="O178" s="1" t="s">
        <v>24</v>
      </c>
    </row>
    <row r="179" spans="1:15" ht="15">
      <c r="A179" s="6" t="s">
        <v>22</v>
      </c>
      <c r="B179">
        <v>194</v>
      </c>
      <c r="C179" s="2">
        <v>43151</v>
      </c>
      <c r="D179" t="s">
        <v>34</v>
      </c>
      <c r="E179" s="2">
        <v>42767</v>
      </c>
      <c r="F179">
        <v>0</v>
      </c>
      <c r="G179" s="2">
        <v>43152</v>
      </c>
      <c r="H179" s="2">
        <v>42799</v>
      </c>
      <c r="I179" t="s">
        <v>16</v>
      </c>
      <c r="J179" s="3">
        <v>9758.56</v>
      </c>
      <c r="K179" s="3">
        <v>1759.74</v>
      </c>
      <c r="L179" s="3">
        <v>7998.82</v>
      </c>
      <c r="M179">
        <v>353</v>
      </c>
      <c r="N179" s="3">
        <v>2823583.46</v>
      </c>
      <c r="O179" s="1" t="s">
        <v>24</v>
      </c>
    </row>
    <row r="180" spans="1:15" ht="15">
      <c r="A180" s="6" t="s">
        <v>22</v>
      </c>
      <c r="B180">
        <v>192</v>
      </c>
      <c r="C180" s="2">
        <v>43151</v>
      </c>
      <c r="D180" t="s">
        <v>35</v>
      </c>
      <c r="E180" s="2">
        <v>42767</v>
      </c>
      <c r="F180">
        <v>0</v>
      </c>
      <c r="G180" s="2">
        <v>43152</v>
      </c>
      <c r="H180" s="2">
        <v>42799</v>
      </c>
      <c r="I180" t="s">
        <v>16</v>
      </c>
      <c r="J180">
        <v>845.2</v>
      </c>
      <c r="K180">
        <v>152.41</v>
      </c>
      <c r="L180">
        <v>692.79</v>
      </c>
      <c r="M180">
        <v>353</v>
      </c>
      <c r="N180" s="3">
        <v>244554.87</v>
      </c>
      <c r="O180" s="1" t="s">
        <v>24</v>
      </c>
    </row>
    <row r="181" spans="1:15" ht="15">
      <c r="A181" s="6" t="s">
        <v>22</v>
      </c>
      <c r="B181">
        <v>193</v>
      </c>
      <c r="C181" s="2">
        <v>43151</v>
      </c>
      <c r="D181" t="s">
        <v>36</v>
      </c>
      <c r="E181" s="2">
        <v>42767</v>
      </c>
      <c r="F181">
        <v>0</v>
      </c>
      <c r="G181" s="2">
        <v>43152</v>
      </c>
      <c r="H181" s="2">
        <v>42799</v>
      </c>
      <c r="I181" t="s">
        <v>16</v>
      </c>
      <c r="J181">
        <v>218.9</v>
      </c>
      <c r="K181">
        <v>39.47</v>
      </c>
      <c r="L181">
        <v>179.43</v>
      </c>
      <c r="M181">
        <v>353</v>
      </c>
      <c r="N181" s="3">
        <v>63338.79</v>
      </c>
      <c r="O181" s="1" t="s">
        <v>24</v>
      </c>
    </row>
    <row r="182" spans="1:15" ht="15">
      <c r="A182" s="6" t="s">
        <v>22</v>
      </c>
      <c r="B182">
        <v>192</v>
      </c>
      <c r="C182" s="2">
        <v>43151</v>
      </c>
      <c r="D182" t="s">
        <v>37</v>
      </c>
      <c r="E182" s="2">
        <v>42767</v>
      </c>
      <c r="F182">
        <v>0</v>
      </c>
      <c r="G182" s="2">
        <v>43152</v>
      </c>
      <c r="H182" s="2">
        <v>42799</v>
      </c>
      <c r="I182" t="s">
        <v>16</v>
      </c>
      <c r="J182">
        <v>316.25</v>
      </c>
      <c r="K182">
        <v>57.03</v>
      </c>
      <c r="L182">
        <v>259.22</v>
      </c>
      <c r="M182">
        <v>353</v>
      </c>
      <c r="N182" s="3">
        <v>91504.66</v>
      </c>
      <c r="O182" s="1" t="s">
        <v>24</v>
      </c>
    </row>
    <row r="183" spans="1:15" ht="15">
      <c r="A183" s="6" t="s">
        <v>22</v>
      </c>
      <c r="B183">
        <v>195</v>
      </c>
      <c r="C183" s="2">
        <v>43151</v>
      </c>
      <c r="D183" t="s">
        <v>38</v>
      </c>
      <c r="E183" s="2">
        <v>42767</v>
      </c>
      <c r="F183">
        <v>0</v>
      </c>
      <c r="G183" s="2">
        <v>43152</v>
      </c>
      <c r="H183" s="2">
        <v>42799</v>
      </c>
      <c r="I183" t="s">
        <v>16</v>
      </c>
      <c r="J183" s="3">
        <v>3439.4</v>
      </c>
      <c r="K183">
        <v>620.22</v>
      </c>
      <c r="L183" s="3">
        <v>2819.18</v>
      </c>
      <c r="M183">
        <v>353</v>
      </c>
      <c r="N183" s="3">
        <v>995170.54</v>
      </c>
      <c r="O183" s="1" t="s">
        <v>24</v>
      </c>
    </row>
    <row r="184" spans="1:15" ht="15">
      <c r="A184" s="6" t="s">
        <v>22</v>
      </c>
      <c r="B184">
        <v>194</v>
      </c>
      <c r="C184" s="2">
        <v>43151</v>
      </c>
      <c r="D184" t="s">
        <v>39</v>
      </c>
      <c r="E184" s="2">
        <v>42767</v>
      </c>
      <c r="F184">
        <v>0</v>
      </c>
      <c r="G184" s="2">
        <v>43152</v>
      </c>
      <c r="H184" s="2">
        <v>42799</v>
      </c>
      <c r="I184" t="s">
        <v>16</v>
      </c>
      <c r="J184" s="3">
        <v>2357.27</v>
      </c>
      <c r="K184">
        <v>425.08</v>
      </c>
      <c r="L184" s="3">
        <v>1932.19</v>
      </c>
      <c r="M184">
        <v>353</v>
      </c>
      <c r="N184" s="3">
        <v>682063.07</v>
      </c>
      <c r="O184" s="1" t="s">
        <v>24</v>
      </c>
    </row>
    <row r="185" spans="1:15" ht="15">
      <c r="A185" s="6" t="s">
        <v>22</v>
      </c>
      <c r="B185">
        <v>193</v>
      </c>
      <c r="C185" s="2">
        <v>43151</v>
      </c>
      <c r="D185" t="s">
        <v>40</v>
      </c>
      <c r="E185" s="2">
        <v>42767</v>
      </c>
      <c r="F185">
        <v>0</v>
      </c>
      <c r="G185" s="2">
        <v>43152</v>
      </c>
      <c r="H185" s="2">
        <v>42799</v>
      </c>
      <c r="I185" t="s">
        <v>16</v>
      </c>
      <c r="J185">
        <v>2.72</v>
      </c>
      <c r="K185">
        <v>0.49</v>
      </c>
      <c r="L185">
        <v>2.23</v>
      </c>
      <c r="M185">
        <v>353</v>
      </c>
      <c r="N185">
        <v>787.19</v>
      </c>
      <c r="O185" s="1" t="s">
        <v>24</v>
      </c>
    </row>
    <row r="186" spans="1:15" ht="28.8">
      <c r="A186" s="6" t="s">
        <v>41</v>
      </c>
      <c r="B186">
        <v>408</v>
      </c>
      <c r="C186" s="2">
        <v>43186</v>
      </c>
      <c r="D186" s="4">
        <v>302017</v>
      </c>
      <c r="E186" s="2">
        <v>42828</v>
      </c>
      <c r="F186">
        <v>0</v>
      </c>
      <c r="G186" s="2">
        <v>43186</v>
      </c>
      <c r="H186" s="2">
        <v>42859</v>
      </c>
      <c r="I186" t="s">
        <v>18</v>
      </c>
      <c r="J186" s="3">
        <v>1200</v>
      </c>
      <c r="K186">
        <v>0</v>
      </c>
      <c r="L186" s="3">
        <v>1200</v>
      </c>
      <c r="M186">
        <v>327</v>
      </c>
      <c r="N186" s="3">
        <v>392400</v>
      </c>
      <c r="O186" s="1" t="s">
        <v>42</v>
      </c>
    </row>
    <row r="187" spans="1:15" ht="15">
      <c r="A187" s="6" t="s">
        <v>22</v>
      </c>
      <c r="B187">
        <v>358</v>
      </c>
      <c r="C187" s="2">
        <v>43186</v>
      </c>
      <c r="D187" t="s">
        <v>43</v>
      </c>
      <c r="E187" s="2">
        <v>42826</v>
      </c>
      <c r="F187">
        <v>0</v>
      </c>
      <c r="G187" s="2">
        <v>43186</v>
      </c>
      <c r="H187" s="2">
        <v>42862</v>
      </c>
      <c r="I187" t="s">
        <v>16</v>
      </c>
      <c r="J187">
        <v>0.02</v>
      </c>
      <c r="K187">
        <v>0</v>
      </c>
      <c r="L187">
        <v>0.02</v>
      </c>
      <c r="M187">
        <v>324</v>
      </c>
      <c r="N187">
        <v>6.48</v>
      </c>
      <c r="O187" s="1" t="s">
        <v>24</v>
      </c>
    </row>
    <row r="188" spans="1:15" ht="15">
      <c r="A188" s="6" t="s">
        <v>22</v>
      </c>
      <c r="B188">
        <v>193</v>
      </c>
      <c r="C188" s="2">
        <v>43151</v>
      </c>
      <c r="D188" t="s">
        <v>44</v>
      </c>
      <c r="E188" s="2">
        <v>42796</v>
      </c>
      <c r="F188">
        <v>0</v>
      </c>
      <c r="G188" s="2">
        <v>43152</v>
      </c>
      <c r="H188" s="2">
        <v>42831</v>
      </c>
      <c r="I188" t="s">
        <v>16</v>
      </c>
      <c r="J188">
        <v>3.09</v>
      </c>
      <c r="K188">
        <v>0.56</v>
      </c>
      <c r="L188">
        <v>2.53</v>
      </c>
      <c r="M188">
        <v>321</v>
      </c>
      <c r="N188">
        <v>812.13</v>
      </c>
      <c r="O188" s="1" t="s">
        <v>24</v>
      </c>
    </row>
    <row r="189" spans="1:15" ht="15">
      <c r="A189" s="6" t="s">
        <v>22</v>
      </c>
      <c r="B189">
        <v>195</v>
      </c>
      <c r="C189" s="2">
        <v>43151</v>
      </c>
      <c r="D189" t="s">
        <v>45</v>
      </c>
      <c r="E189" s="2">
        <v>42796</v>
      </c>
      <c r="F189">
        <v>0</v>
      </c>
      <c r="G189" s="2">
        <v>43152</v>
      </c>
      <c r="H189" s="2">
        <v>42831</v>
      </c>
      <c r="I189" t="s">
        <v>16</v>
      </c>
      <c r="J189">
        <v>3.77</v>
      </c>
      <c r="K189">
        <v>0.68</v>
      </c>
      <c r="L189">
        <v>3.09</v>
      </c>
      <c r="M189">
        <v>321</v>
      </c>
      <c r="N189">
        <v>991.89</v>
      </c>
      <c r="O189" s="1" t="s">
        <v>24</v>
      </c>
    </row>
    <row r="190" spans="1:15" ht="15">
      <c r="A190" s="6" t="s">
        <v>22</v>
      </c>
      <c r="B190">
        <v>194</v>
      </c>
      <c r="C190" s="2">
        <v>43151</v>
      </c>
      <c r="D190" t="s">
        <v>46</v>
      </c>
      <c r="E190" s="2">
        <v>42796</v>
      </c>
      <c r="F190">
        <v>0</v>
      </c>
      <c r="G190" s="2">
        <v>43152</v>
      </c>
      <c r="H190" s="2">
        <v>42831</v>
      </c>
      <c r="I190" t="s">
        <v>16</v>
      </c>
      <c r="J190">
        <v>191.67</v>
      </c>
      <c r="K190">
        <v>34.56</v>
      </c>
      <c r="L190">
        <v>157.11</v>
      </c>
      <c r="M190">
        <v>321</v>
      </c>
      <c r="N190" s="3">
        <v>50432.31</v>
      </c>
      <c r="O190" s="1" t="s">
        <v>24</v>
      </c>
    </row>
    <row r="191" spans="1:15" ht="15">
      <c r="A191" s="6" t="s">
        <v>22</v>
      </c>
      <c r="B191">
        <v>192</v>
      </c>
      <c r="C191" s="2">
        <v>43151</v>
      </c>
      <c r="D191" t="s">
        <v>47</v>
      </c>
      <c r="E191" s="2">
        <v>42796</v>
      </c>
      <c r="F191">
        <v>0</v>
      </c>
      <c r="G191" s="2">
        <v>43152</v>
      </c>
      <c r="H191" s="2">
        <v>42831</v>
      </c>
      <c r="I191" t="s">
        <v>16</v>
      </c>
      <c r="J191">
        <v>256.68</v>
      </c>
      <c r="K191">
        <v>46.29</v>
      </c>
      <c r="L191">
        <v>210.39</v>
      </c>
      <c r="M191">
        <v>321</v>
      </c>
      <c r="N191" s="3">
        <v>67535.19</v>
      </c>
      <c r="O191" s="1" t="s">
        <v>24</v>
      </c>
    </row>
    <row r="192" spans="1:15" ht="15">
      <c r="A192" s="6" t="s">
        <v>22</v>
      </c>
      <c r="B192">
        <v>194</v>
      </c>
      <c r="C192" s="2">
        <v>43151</v>
      </c>
      <c r="D192" t="s">
        <v>48</v>
      </c>
      <c r="E192" s="2">
        <v>42796</v>
      </c>
      <c r="F192">
        <v>0</v>
      </c>
      <c r="G192" s="2">
        <v>43152</v>
      </c>
      <c r="H192" s="2">
        <v>42832</v>
      </c>
      <c r="I192" t="s">
        <v>16</v>
      </c>
      <c r="J192" s="3">
        <v>1946.95</v>
      </c>
      <c r="K192">
        <v>351.09</v>
      </c>
      <c r="L192" s="3">
        <v>1595.86</v>
      </c>
      <c r="M192">
        <v>320</v>
      </c>
      <c r="N192" s="3">
        <v>510675.2</v>
      </c>
      <c r="O192" s="1" t="s">
        <v>24</v>
      </c>
    </row>
    <row r="193" spans="1:15" ht="15">
      <c r="A193" s="6" t="s">
        <v>49</v>
      </c>
      <c r="B193">
        <v>130</v>
      </c>
      <c r="C193" s="2">
        <v>43144</v>
      </c>
      <c r="D193" t="s">
        <v>29</v>
      </c>
      <c r="E193" s="2">
        <v>42750</v>
      </c>
      <c r="F193">
        <v>0</v>
      </c>
      <c r="G193" s="2">
        <v>43145</v>
      </c>
      <c r="H193" s="2">
        <v>42826</v>
      </c>
      <c r="I193" t="s">
        <v>18</v>
      </c>
      <c r="J193">
        <v>100</v>
      </c>
      <c r="K193">
        <v>15.55</v>
      </c>
      <c r="L193">
        <v>84.45</v>
      </c>
      <c r="M193">
        <v>319</v>
      </c>
      <c r="N193" s="3">
        <v>26939.55</v>
      </c>
      <c r="O193" s="1" t="s">
        <v>50</v>
      </c>
    </row>
    <row r="194" spans="1:15" ht="15">
      <c r="A194" s="6" t="s">
        <v>15</v>
      </c>
      <c r="B194">
        <v>275</v>
      </c>
      <c r="C194" s="2">
        <v>43173</v>
      </c>
      <c r="D194" t="str">
        <f>"9017012000000903"</f>
        <v>9017012000000903</v>
      </c>
      <c r="E194" s="2">
        <v>42829</v>
      </c>
      <c r="F194">
        <v>0</v>
      </c>
      <c r="G194" s="2">
        <v>43174</v>
      </c>
      <c r="H194" s="2">
        <v>42866</v>
      </c>
      <c r="I194" t="s">
        <v>18</v>
      </c>
      <c r="J194">
        <v>19.79</v>
      </c>
      <c r="K194">
        <v>1.8</v>
      </c>
      <c r="L194">
        <v>17.99</v>
      </c>
      <c r="M194">
        <v>308</v>
      </c>
      <c r="N194" s="3">
        <v>5540.92</v>
      </c>
      <c r="O194" s="1" t="s">
        <v>51</v>
      </c>
    </row>
    <row r="195" spans="1:15" ht="15">
      <c r="A195" s="6" t="s">
        <v>15</v>
      </c>
      <c r="B195">
        <v>275</v>
      </c>
      <c r="C195" s="2">
        <v>43173</v>
      </c>
      <c r="D195" t="str">
        <f>"9017012000000902"</f>
        <v>9017012000000902</v>
      </c>
      <c r="E195" s="2">
        <v>42829</v>
      </c>
      <c r="F195">
        <v>0</v>
      </c>
      <c r="G195" s="2">
        <v>43174</v>
      </c>
      <c r="H195" s="2">
        <v>42866</v>
      </c>
      <c r="I195" t="s">
        <v>18</v>
      </c>
      <c r="J195">
        <v>281.06</v>
      </c>
      <c r="K195">
        <v>25.55</v>
      </c>
      <c r="L195">
        <v>255.51</v>
      </c>
      <c r="M195">
        <v>308</v>
      </c>
      <c r="N195" s="3">
        <v>78697.08</v>
      </c>
      <c r="O195" s="1" t="s">
        <v>51</v>
      </c>
    </row>
    <row r="196" spans="1:15" ht="15">
      <c r="A196" s="6" t="s">
        <v>15</v>
      </c>
      <c r="B196">
        <v>272</v>
      </c>
      <c r="C196" s="2">
        <v>43173</v>
      </c>
      <c r="D196" t="str">
        <f>"9017012000002436"</f>
        <v>9017012000002436</v>
      </c>
      <c r="E196" s="2">
        <v>42829</v>
      </c>
      <c r="F196">
        <v>0</v>
      </c>
      <c r="G196" s="2">
        <v>43174</v>
      </c>
      <c r="H196" s="2">
        <v>42867</v>
      </c>
      <c r="I196" t="s">
        <v>18</v>
      </c>
      <c r="J196">
        <v>7.21</v>
      </c>
      <c r="K196">
        <v>0.66</v>
      </c>
      <c r="L196">
        <v>6.55</v>
      </c>
      <c r="M196">
        <v>307</v>
      </c>
      <c r="N196" s="3">
        <v>2010.85</v>
      </c>
      <c r="O196" s="1" t="s">
        <v>51</v>
      </c>
    </row>
    <row r="197" spans="1:15" ht="15">
      <c r="A197" s="6" t="s">
        <v>15</v>
      </c>
      <c r="B197">
        <v>272</v>
      </c>
      <c r="C197" s="2">
        <v>43173</v>
      </c>
      <c r="D197" t="str">
        <f>"9017012000003208"</f>
        <v>9017012000003208</v>
      </c>
      <c r="E197" s="2">
        <v>42829</v>
      </c>
      <c r="F197">
        <v>0</v>
      </c>
      <c r="G197" s="2">
        <v>43174</v>
      </c>
      <c r="H197" s="2">
        <v>42867</v>
      </c>
      <c r="I197" t="s">
        <v>18</v>
      </c>
      <c r="J197">
        <v>44.47</v>
      </c>
      <c r="K197">
        <v>4.04</v>
      </c>
      <c r="L197">
        <v>40.43</v>
      </c>
      <c r="M197">
        <v>307</v>
      </c>
      <c r="N197" s="3">
        <v>12412.01</v>
      </c>
      <c r="O197" s="1" t="s">
        <v>51</v>
      </c>
    </row>
    <row r="198" spans="1:15" ht="15">
      <c r="A198" s="6" t="s">
        <v>15</v>
      </c>
      <c r="B198">
        <v>276</v>
      </c>
      <c r="C198" s="2">
        <v>43173</v>
      </c>
      <c r="D198" t="str">
        <f>"9017012000001185"</f>
        <v>9017012000001185</v>
      </c>
      <c r="E198" s="2">
        <v>42829</v>
      </c>
      <c r="F198">
        <v>0</v>
      </c>
      <c r="G198" s="2">
        <v>43174</v>
      </c>
      <c r="H198" s="2">
        <v>42867</v>
      </c>
      <c r="I198" t="s">
        <v>18</v>
      </c>
      <c r="J198">
        <v>19.78</v>
      </c>
      <c r="K198">
        <v>1.8</v>
      </c>
      <c r="L198">
        <v>17.98</v>
      </c>
      <c r="M198">
        <v>307</v>
      </c>
      <c r="N198" s="3">
        <v>5519.86</v>
      </c>
      <c r="O198" s="1" t="s">
        <v>51</v>
      </c>
    </row>
    <row r="199" spans="1:15" ht="15">
      <c r="A199" s="6" t="s">
        <v>15</v>
      </c>
      <c r="B199">
        <v>272</v>
      </c>
      <c r="C199" s="2">
        <v>43173</v>
      </c>
      <c r="D199" t="str">
        <f>"9017012000001440"</f>
        <v>9017012000001440</v>
      </c>
      <c r="E199" s="2">
        <v>42829</v>
      </c>
      <c r="F199">
        <v>0</v>
      </c>
      <c r="G199" s="2">
        <v>43174</v>
      </c>
      <c r="H199" s="2">
        <v>42867</v>
      </c>
      <c r="I199" t="s">
        <v>18</v>
      </c>
      <c r="J199">
        <v>23.74</v>
      </c>
      <c r="K199">
        <v>2.16</v>
      </c>
      <c r="L199">
        <v>21.58</v>
      </c>
      <c r="M199">
        <v>307</v>
      </c>
      <c r="N199" s="3">
        <v>6625.06</v>
      </c>
      <c r="O199" s="1" t="s">
        <v>51</v>
      </c>
    </row>
    <row r="200" spans="1:15" ht="15">
      <c r="A200" s="6" t="s">
        <v>15</v>
      </c>
      <c r="B200">
        <v>272</v>
      </c>
      <c r="C200" s="2">
        <v>43173</v>
      </c>
      <c r="D200" t="str">
        <f>"9017012000002152"</f>
        <v>9017012000002152</v>
      </c>
      <c r="E200" s="2">
        <v>42829</v>
      </c>
      <c r="F200">
        <v>0</v>
      </c>
      <c r="G200" s="2">
        <v>43174</v>
      </c>
      <c r="H200" s="2">
        <v>42867</v>
      </c>
      <c r="I200" t="s">
        <v>18</v>
      </c>
      <c r="J200">
        <v>19.78</v>
      </c>
      <c r="K200">
        <v>1.8</v>
      </c>
      <c r="L200">
        <v>17.98</v>
      </c>
      <c r="M200">
        <v>307</v>
      </c>
      <c r="N200" s="3">
        <v>5519.86</v>
      </c>
      <c r="O200" s="1" t="s">
        <v>51</v>
      </c>
    </row>
    <row r="201" spans="1:15" ht="15">
      <c r="A201" s="6" t="s">
        <v>15</v>
      </c>
      <c r="B201">
        <v>276</v>
      </c>
      <c r="C201" s="2">
        <v>43173</v>
      </c>
      <c r="D201" t="str">
        <f>"9017012000001212"</f>
        <v>9017012000001212</v>
      </c>
      <c r="E201" s="2">
        <v>42829</v>
      </c>
      <c r="F201">
        <v>0</v>
      </c>
      <c r="G201" s="2">
        <v>43174</v>
      </c>
      <c r="H201" s="2">
        <v>42867</v>
      </c>
      <c r="I201" t="s">
        <v>18</v>
      </c>
      <c r="J201">
        <v>23.33</v>
      </c>
      <c r="K201">
        <v>2.12</v>
      </c>
      <c r="L201">
        <v>21.21</v>
      </c>
      <c r="M201">
        <v>307</v>
      </c>
      <c r="N201" s="3">
        <v>6511.47</v>
      </c>
      <c r="O201" s="1" t="s">
        <v>51</v>
      </c>
    </row>
    <row r="202" spans="1:15" ht="15">
      <c r="A202" s="6" t="s">
        <v>15</v>
      </c>
      <c r="B202">
        <v>276</v>
      </c>
      <c r="C202" s="2">
        <v>43173</v>
      </c>
      <c r="D202" t="str">
        <f>"9017012000001211"</f>
        <v>9017012000001211</v>
      </c>
      <c r="E202" s="2">
        <v>42829</v>
      </c>
      <c r="F202">
        <v>0</v>
      </c>
      <c r="G202" s="2">
        <v>43174</v>
      </c>
      <c r="H202" s="2">
        <v>42867</v>
      </c>
      <c r="I202" t="s">
        <v>18</v>
      </c>
      <c r="J202">
        <v>20.65</v>
      </c>
      <c r="K202">
        <v>1.88</v>
      </c>
      <c r="L202">
        <v>18.77</v>
      </c>
      <c r="M202">
        <v>307</v>
      </c>
      <c r="N202" s="3">
        <v>5762.39</v>
      </c>
      <c r="O202" s="1" t="s">
        <v>51</v>
      </c>
    </row>
    <row r="203" spans="1:15" ht="15">
      <c r="A203" s="6" t="s">
        <v>15</v>
      </c>
      <c r="B203">
        <v>272</v>
      </c>
      <c r="C203" s="2">
        <v>43173</v>
      </c>
      <c r="D203" t="str">
        <f>"9017012000001441"</f>
        <v>9017012000001441</v>
      </c>
      <c r="E203" s="2">
        <v>42829</v>
      </c>
      <c r="F203">
        <v>0</v>
      </c>
      <c r="G203" s="2">
        <v>43174</v>
      </c>
      <c r="H203" s="2">
        <v>42867</v>
      </c>
      <c r="I203" t="s">
        <v>18</v>
      </c>
      <c r="J203">
        <v>36.12</v>
      </c>
      <c r="K203">
        <v>3.28</v>
      </c>
      <c r="L203">
        <v>32.84</v>
      </c>
      <c r="M203">
        <v>307</v>
      </c>
      <c r="N203" s="3">
        <v>10081.88</v>
      </c>
      <c r="O203" s="1" t="s">
        <v>51</v>
      </c>
    </row>
    <row r="204" spans="1:15" ht="15">
      <c r="A204" s="6" t="s">
        <v>15</v>
      </c>
      <c r="B204">
        <v>272</v>
      </c>
      <c r="C204" s="2">
        <v>43173</v>
      </c>
      <c r="D204" t="str">
        <f>"9017012000003290"</f>
        <v>9017012000003290</v>
      </c>
      <c r="E204" s="2">
        <v>42829</v>
      </c>
      <c r="F204">
        <v>0</v>
      </c>
      <c r="G204" s="2">
        <v>43174</v>
      </c>
      <c r="H204" s="2">
        <v>42868</v>
      </c>
      <c r="I204" t="s">
        <v>18</v>
      </c>
      <c r="J204">
        <v>22.06</v>
      </c>
      <c r="K204">
        <v>2.01</v>
      </c>
      <c r="L204">
        <v>20.05</v>
      </c>
      <c r="M204">
        <v>306</v>
      </c>
      <c r="N204" s="3">
        <v>6135.3</v>
      </c>
      <c r="O204" s="1" t="s">
        <v>51</v>
      </c>
    </row>
    <row r="205" spans="1:15" ht="15">
      <c r="A205" s="6" t="s">
        <v>15</v>
      </c>
      <c r="B205">
        <v>272</v>
      </c>
      <c r="C205" s="2">
        <v>43173</v>
      </c>
      <c r="D205" t="str">
        <f>"9017012000003291"</f>
        <v>9017012000003291</v>
      </c>
      <c r="E205" s="2">
        <v>42829</v>
      </c>
      <c r="F205">
        <v>0</v>
      </c>
      <c r="G205" s="2">
        <v>43174</v>
      </c>
      <c r="H205" s="2">
        <v>42868</v>
      </c>
      <c r="I205" t="s">
        <v>18</v>
      </c>
      <c r="J205">
        <v>47.1</v>
      </c>
      <c r="K205">
        <v>4.28</v>
      </c>
      <c r="L205">
        <v>42.82</v>
      </c>
      <c r="M205">
        <v>306</v>
      </c>
      <c r="N205" s="3">
        <v>13102.92</v>
      </c>
      <c r="O205" s="1" t="s">
        <v>51</v>
      </c>
    </row>
    <row r="206" spans="1:15" ht="15">
      <c r="A206" s="6" t="s">
        <v>15</v>
      </c>
      <c r="B206">
        <v>275</v>
      </c>
      <c r="C206" s="2">
        <v>43173</v>
      </c>
      <c r="D206" t="str">
        <f>"9017012000001318"</f>
        <v>9017012000001318</v>
      </c>
      <c r="E206" s="2">
        <v>42829</v>
      </c>
      <c r="F206">
        <v>0</v>
      </c>
      <c r="G206" s="2">
        <v>43174</v>
      </c>
      <c r="H206" s="2">
        <v>42868</v>
      </c>
      <c r="I206" t="s">
        <v>18</v>
      </c>
      <c r="J206">
        <v>13.62</v>
      </c>
      <c r="K206">
        <v>1.24</v>
      </c>
      <c r="L206">
        <v>12.38</v>
      </c>
      <c r="M206">
        <v>306</v>
      </c>
      <c r="N206" s="3">
        <v>3788.28</v>
      </c>
      <c r="O206" s="1" t="s">
        <v>51</v>
      </c>
    </row>
    <row r="207" spans="1:15" ht="15">
      <c r="A207" s="6" t="s">
        <v>15</v>
      </c>
      <c r="B207">
        <v>276</v>
      </c>
      <c r="C207" s="2">
        <v>43173</v>
      </c>
      <c r="D207" t="str">
        <f>"9017012000002371"</f>
        <v>9017012000002371</v>
      </c>
      <c r="E207" s="2">
        <v>42829</v>
      </c>
      <c r="F207">
        <v>0</v>
      </c>
      <c r="G207" s="2">
        <v>43174</v>
      </c>
      <c r="H207" s="2">
        <v>42868</v>
      </c>
      <c r="I207" t="s">
        <v>18</v>
      </c>
      <c r="J207">
        <v>19.79</v>
      </c>
      <c r="K207">
        <v>1.8</v>
      </c>
      <c r="L207">
        <v>17.99</v>
      </c>
      <c r="M207">
        <v>306</v>
      </c>
      <c r="N207" s="3">
        <v>5504.94</v>
      </c>
      <c r="O207" s="1" t="s">
        <v>51</v>
      </c>
    </row>
    <row r="208" spans="1:15" ht="15">
      <c r="A208" s="6" t="s">
        <v>15</v>
      </c>
      <c r="B208">
        <v>272</v>
      </c>
      <c r="C208" s="2">
        <v>43173</v>
      </c>
      <c r="D208" t="str">
        <f>"9017012000000179"</f>
        <v>9017012000000179</v>
      </c>
      <c r="E208" s="2">
        <v>42829</v>
      </c>
      <c r="F208">
        <v>0</v>
      </c>
      <c r="G208" s="2">
        <v>43174</v>
      </c>
      <c r="H208" s="2">
        <v>42868</v>
      </c>
      <c r="I208" t="s">
        <v>18</v>
      </c>
      <c r="J208">
        <v>58.55</v>
      </c>
      <c r="K208">
        <v>5.32</v>
      </c>
      <c r="L208">
        <v>53.23</v>
      </c>
      <c r="M208">
        <v>306</v>
      </c>
      <c r="N208" s="3">
        <v>16288.38</v>
      </c>
      <c r="O208" s="1" t="s">
        <v>51</v>
      </c>
    </row>
    <row r="209" spans="1:15" ht="15">
      <c r="A209" s="6" t="s">
        <v>15</v>
      </c>
      <c r="B209">
        <v>272</v>
      </c>
      <c r="C209" s="2">
        <v>43173</v>
      </c>
      <c r="D209" t="str">
        <f>"9017012000002373"</f>
        <v>9017012000002373</v>
      </c>
      <c r="E209" s="2">
        <v>42829</v>
      </c>
      <c r="F209">
        <v>0</v>
      </c>
      <c r="G209" s="2">
        <v>43174</v>
      </c>
      <c r="H209" s="2">
        <v>42868</v>
      </c>
      <c r="I209" t="s">
        <v>18</v>
      </c>
      <c r="J209">
        <v>64.05</v>
      </c>
      <c r="K209">
        <v>5.82</v>
      </c>
      <c r="L209">
        <v>58.23</v>
      </c>
      <c r="M209">
        <v>306</v>
      </c>
      <c r="N209" s="3">
        <v>17818.38</v>
      </c>
      <c r="O209" s="1" t="s">
        <v>51</v>
      </c>
    </row>
    <row r="210" spans="1:15" ht="15">
      <c r="A210" s="6" t="s">
        <v>15</v>
      </c>
      <c r="B210">
        <v>272</v>
      </c>
      <c r="C210" s="2">
        <v>43173</v>
      </c>
      <c r="D210" t="str">
        <f>"9017012000001941"</f>
        <v>9017012000001941</v>
      </c>
      <c r="E210" s="2">
        <v>42829</v>
      </c>
      <c r="F210">
        <v>0</v>
      </c>
      <c r="G210" s="2">
        <v>43174</v>
      </c>
      <c r="H210" s="2">
        <v>42868</v>
      </c>
      <c r="I210" t="s">
        <v>18</v>
      </c>
      <c r="J210">
        <v>19.79</v>
      </c>
      <c r="K210">
        <v>1.8</v>
      </c>
      <c r="L210">
        <v>17.99</v>
      </c>
      <c r="M210">
        <v>306</v>
      </c>
      <c r="N210" s="3">
        <v>5504.94</v>
      </c>
      <c r="O210" s="1" t="s">
        <v>51</v>
      </c>
    </row>
    <row r="211" spans="1:15" ht="15">
      <c r="A211" s="6" t="s">
        <v>52</v>
      </c>
      <c r="B211">
        <v>82</v>
      </c>
      <c r="C211" s="2">
        <v>43138</v>
      </c>
      <c r="D211" t="s">
        <v>53</v>
      </c>
      <c r="E211" s="2">
        <v>42807</v>
      </c>
      <c r="F211">
        <v>0</v>
      </c>
      <c r="G211" s="2">
        <v>43138</v>
      </c>
      <c r="H211" s="2">
        <v>42838</v>
      </c>
      <c r="I211" t="s">
        <v>16</v>
      </c>
      <c r="J211">
        <v>300</v>
      </c>
      <c r="K211">
        <v>0</v>
      </c>
      <c r="L211">
        <v>300</v>
      </c>
      <c r="M211">
        <v>300</v>
      </c>
      <c r="N211" s="3">
        <v>90000</v>
      </c>
      <c r="O211" s="1" t="s">
        <v>54</v>
      </c>
    </row>
    <row r="212" spans="1:15" ht="15">
      <c r="A212" s="6" t="s">
        <v>55</v>
      </c>
      <c r="B212">
        <v>196</v>
      </c>
      <c r="C212" s="2">
        <v>43152</v>
      </c>
      <c r="D212" t="s">
        <v>56</v>
      </c>
      <c r="E212" s="2">
        <v>42825</v>
      </c>
      <c r="F212">
        <v>0</v>
      </c>
      <c r="G212" s="2">
        <v>43152</v>
      </c>
      <c r="H212" s="2">
        <v>42855</v>
      </c>
      <c r="I212" t="s">
        <v>18</v>
      </c>
      <c r="J212">
        <v>378.2</v>
      </c>
      <c r="K212">
        <v>68.2</v>
      </c>
      <c r="L212">
        <v>310</v>
      </c>
      <c r="M212">
        <v>297</v>
      </c>
      <c r="N212" s="3">
        <v>92070</v>
      </c>
      <c r="O212" s="1" t="s">
        <v>57</v>
      </c>
    </row>
    <row r="213" spans="1:15" ht="15">
      <c r="A213" s="6" t="s">
        <v>22</v>
      </c>
      <c r="B213">
        <v>192</v>
      </c>
      <c r="C213" s="2">
        <v>43151</v>
      </c>
      <c r="D213" t="s">
        <v>58</v>
      </c>
      <c r="E213" s="2">
        <v>42826</v>
      </c>
      <c r="F213">
        <v>0</v>
      </c>
      <c r="G213" s="2">
        <v>43152</v>
      </c>
      <c r="H213" s="2">
        <v>42862</v>
      </c>
      <c r="I213" t="s">
        <v>16</v>
      </c>
      <c r="J213">
        <v>0.01</v>
      </c>
      <c r="K213">
        <v>0</v>
      </c>
      <c r="L213">
        <v>0.01</v>
      </c>
      <c r="M213">
        <v>290</v>
      </c>
      <c r="N213">
        <v>2.9</v>
      </c>
      <c r="O213" s="1" t="s">
        <v>24</v>
      </c>
    </row>
    <row r="214" spans="1:15" ht="15">
      <c r="A214" s="6" t="s">
        <v>22</v>
      </c>
      <c r="B214">
        <v>195</v>
      </c>
      <c r="C214" s="2">
        <v>43151</v>
      </c>
      <c r="D214" t="s">
        <v>59</v>
      </c>
      <c r="E214" s="2">
        <v>42826</v>
      </c>
      <c r="F214">
        <v>0</v>
      </c>
      <c r="G214" s="2">
        <v>43152</v>
      </c>
      <c r="H214" s="2">
        <v>42862</v>
      </c>
      <c r="I214" t="s">
        <v>16</v>
      </c>
      <c r="J214">
        <v>0.12</v>
      </c>
      <c r="K214">
        <v>0.02</v>
      </c>
      <c r="L214">
        <v>0.1</v>
      </c>
      <c r="M214">
        <v>290</v>
      </c>
      <c r="N214">
        <v>29</v>
      </c>
      <c r="O214" s="1" t="s">
        <v>24</v>
      </c>
    </row>
    <row r="215" spans="1:15" ht="15">
      <c r="A215" s="6" t="s">
        <v>22</v>
      </c>
      <c r="B215">
        <v>194</v>
      </c>
      <c r="C215" s="2">
        <v>43151</v>
      </c>
      <c r="D215" t="s">
        <v>60</v>
      </c>
      <c r="E215" s="2">
        <v>42826</v>
      </c>
      <c r="F215">
        <v>0</v>
      </c>
      <c r="G215" s="2">
        <v>43152</v>
      </c>
      <c r="H215" s="2">
        <v>42862</v>
      </c>
      <c r="I215" t="s">
        <v>16</v>
      </c>
      <c r="J215">
        <v>0.39</v>
      </c>
      <c r="K215">
        <v>0.07</v>
      </c>
      <c r="L215">
        <v>0.32</v>
      </c>
      <c r="M215">
        <v>290</v>
      </c>
      <c r="N215">
        <v>92.8</v>
      </c>
      <c r="O215" s="1" t="s">
        <v>24</v>
      </c>
    </row>
    <row r="216" spans="1:15" ht="15">
      <c r="A216" s="6" t="s">
        <v>61</v>
      </c>
      <c r="B216">
        <v>400</v>
      </c>
      <c r="C216" s="2">
        <v>43186</v>
      </c>
      <c r="D216" t="s">
        <v>62</v>
      </c>
      <c r="E216" s="2">
        <v>42825</v>
      </c>
      <c r="F216">
        <v>0</v>
      </c>
      <c r="G216" s="2">
        <v>43186</v>
      </c>
      <c r="H216" s="2">
        <v>42916</v>
      </c>
      <c r="I216" t="s">
        <v>16</v>
      </c>
      <c r="J216">
        <v>409.5</v>
      </c>
      <c r="K216">
        <v>19.5</v>
      </c>
      <c r="L216">
        <v>390</v>
      </c>
      <c r="M216">
        <v>270</v>
      </c>
      <c r="N216" s="3">
        <v>105300</v>
      </c>
      <c r="O216" s="1" t="s">
        <v>63</v>
      </c>
    </row>
    <row r="217" spans="1:15" ht="15">
      <c r="A217" s="6" t="s">
        <v>61</v>
      </c>
      <c r="B217">
        <v>400</v>
      </c>
      <c r="C217" s="2">
        <v>43186</v>
      </c>
      <c r="D217" t="s">
        <v>64</v>
      </c>
      <c r="E217" s="2">
        <v>42855</v>
      </c>
      <c r="F217">
        <v>0</v>
      </c>
      <c r="G217" s="2">
        <v>43186</v>
      </c>
      <c r="H217" s="2">
        <v>42946</v>
      </c>
      <c r="I217" t="s">
        <v>16</v>
      </c>
      <c r="J217">
        <v>327.6</v>
      </c>
      <c r="K217">
        <v>15.6</v>
      </c>
      <c r="L217">
        <v>312</v>
      </c>
      <c r="M217">
        <v>240</v>
      </c>
      <c r="N217" s="3">
        <v>74880</v>
      </c>
      <c r="O217" s="1" t="s">
        <v>63</v>
      </c>
    </row>
    <row r="218" spans="1:15" ht="15">
      <c r="A218" s="6" t="s">
        <v>49</v>
      </c>
      <c r="B218">
        <v>131</v>
      </c>
      <c r="C218" s="2">
        <v>43144</v>
      </c>
      <c r="D218" t="s">
        <v>65</v>
      </c>
      <c r="E218" s="2">
        <v>42878</v>
      </c>
      <c r="F218">
        <v>0</v>
      </c>
      <c r="G218" s="2">
        <v>43145</v>
      </c>
      <c r="H218" s="2">
        <v>42908</v>
      </c>
      <c r="I218" t="s">
        <v>18</v>
      </c>
      <c r="J218">
        <v>100</v>
      </c>
      <c r="K218">
        <v>13.5</v>
      </c>
      <c r="L218">
        <v>86.5</v>
      </c>
      <c r="M218">
        <v>237</v>
      </c>
      <c r="N218" s="3">
        <v>20500.5</v>
      </c>
      <c r="O218" s="1" t="s">
        <v>50</v>
      </c>
    </row>
    <row r="219" spans="1:15" ht="28.8">
      <c r="A219" s="6" t="s">
        <v>41</v>
      </c>
      <c r="B219">
        <v>409</v>
      </c>
      <c r="C219" s="2">
        <v>43186</v>
      </c>
      <c r="D219" s="4">
        <v>802017</v>
      </c>
      <c r="E219" s="2">
        <v>42923</v>
      </c>
      <c r="F219">
        <v>0</v>
      </c>
      <c r="G219" s="2">
        <v>43186</v>
      </c>
      <c r="H219" s="2">
        <v>42965</v>
      </c>
      <c r="I219" t="s">
        <v>18</v>
      </c>
      <c r="J219" s="3">
        <v>1200</v>
      </c>
      <c r="K219">
        <v>0</v>
      </c>
      <c r="L219" s="3">
        <v>1200</v>
      </c>
      <c r="M219">
        <v>221</v>
      </c>
      <c r="N219" s="3">
        <v>265200</v>
      </c>
      <c r="O219" s="1" t="s">
        <v>42</v>
      </c>
    </row>
    <row r="220" spans="1:15" ht="15">
      <c r="A220" s="6" t="s">
        <v>61</v>
      </c>
      <c r="B220">
        <v>401</v>
      </c>
      <c r="C220" s="2">
        <v>43186</v>
      </c>
      <c r="D220" t="s">
        <v>66</v>
      </c>
      <c r="E220" s="2">
        <v>42886</v>
      </c>
      <c r="F220">
        <v>0</v>
      </c>
      <c r="G220" s="2">
        <v>43186</v>
      </c>
      <c r="H220" s="2">
        <v>42978</v>
      </c>
      <c r="I220" t="s">
        <v>16</v>
      </c>
      <c r="J220">
        <v>245.7</v>
      </c>
      <c r="K220">
        <v>11.7</v>
      </c>
      <c r="L220">
        <v>234</v>
      </c>
      <c r="M220">
        <v>208</v>
      </c>
      <c r="N220" s="3">
        <v>48672</v>
      </c>
      <c r="O220" s="1" t="s">
        <v>63</v>
      </c>
    </row>
    <row r="221" spans="1:15" ht="15">
      <c r="A221" s="6" t="s">
        <v>61</v>
      </c>
      <c r="B221">
        <v>401</v>
      </c>
      <c r="C221" s="2">
        <v>43186</v>
      </c>
      <c r="D221" t="s">
        <v>67</v>
      </c>
      <c r="E221" s="2">
        <v>42916</v>
      </c>
      <c r="F221">
        <v>0</v>
      </c>
      <c r="G221" s="2">
        <v>43186</v>
      </c>
      <c r="H221" s="2">
        <v>43008</v>
      </c>
      <c r="I221" t="s">
        <v>16</v>
      </c>
      <c r="J221">
        <v>245.7</v>
      </c>
      <c r="K221">
        <v>11.7</v>
      </c>
      <c r="L221">
        <v>234</v>
      </c>
      <c r="M221">
        <v>178</v>
      </c>
      <c r="N221" s="3">
        <v>41652</v>
      </c>
      <c r="O221" s="1" t="s">
        <v>63</v>
      </c>
    </row>
    <row r="222" spans="1:15" ht="15">
      <c r="A222" s="6" t="s">
        <v>61</v>
      </c>
      <c r="B222">
        <v>403</v>
      </c>
      <c r="C222" s="2">
        <v>43186</v>
      </c>
      <c r="D222" t="s">
        <v>68</v>
      </c>
      <c r="E222" s="2">
        <v>42916</v>
      </c>
      <c r="F222">
        <v>0</v>
      </c>
      <c r="G222" s="2">
        <v>43186</v>
      </c>
      <c r="H222" s="2">
        <v>43008</v>
      </c>
      <c r="I222" t="s">
        <v>16</v>
      </c>
      <c r="J222">
        <v>927.99</v>
      </c>
      <c r="K222">
        <v>44.19</v>
      </c>
      <c r="L222">
        <v>883.8</v>
      </c>
      <c r="M222">
        <v>178</v>
      </c>
      <c r="N222" s="3">
        <v>157316.4</v>
      </c>
      <c r="O222" s="1" t="s">
        <v>63</v>
      </c>
    </row>
    <row r="223" spans="1:15" ht="15">
      <c r="A223" s="6" t="s">
        <v>69</v>
      </c>
      <c r="B223">
        <v>13</v>
      </c>
      <c r="C223" s="2">
        <v>43123</v>
      </c>
      <c r="D223" t="s">
        <v>29</v>
      </c>
      <c r="E223" s="2">
        <v>42921</v>
      </c>
      <c r="F223">
        <v>0</v>
      </c>
      <c r="G223" s="2">
        <v>43123</v>
      </c>
      <c r="H223" s="2">
        <v>42951</v>
      </c>
      <c r="I223" t="s">
        <v>18</v>
      </c>
      <c r="J223">
        <v>438</v>
      </c>
      <c r="K223">
        <v>0</v>
      </c>
      <c r="L223">
        <v>438</v>
      </c>
      <c r="M223">
        <v>172</v>
      </c>
      <c r="N223" s="3">
        <v>75336</v>
      </c>
      <c r="O223" s="1" t="s">
        <v>32</v>
      </c>
    </row>
    <row r="224" spans="1:15" ht="15">
      <c r="A224" s="6" t="s">
        <v>70</v>
      </c>
      <c r="B224">
        <v>129</v>
      </c>
      <c r="C224" s="2">
        <v>43144</v>
      </c>
      <c r="D224" t="str">
        <f>"242"</f>
        <v>242</v>
      </c>
      <c r="E224" s="2">
        <v>42947</v>
      </c>
      <c r="F224">
        <v>0</v>
      </c>
      <c r="G224" s="2">
        <v>43145</v>
      </c>
      <c r="H224" s="2">
        <v>42984</v>
      </c>
      <c r="I224" t="s">
        <v>16</v>
      </c>
      <c r="J224">
        <v>286.7</v>
      </c>
      <c r="K224">
        <v>51.7</v>
      </c>
      <c r="L224">
        <v>235</v>
      </c>
      <c r="M224">
        <v>161</v>
      </c>
      <c r="N224" s="3">
        <v>37835</v>
      </c>
      <c r="O224" s="1" t="s">
        <v>71</v>
      </c>
    </row>
    <row r="225" spans="1:15" ht="15">
      <c r="A225" s="6" t="s">
        <v>70</v>
      </c>
      <c r="B225">
        <v>128</v>
      </c>
      <c r="C225" s="2">
        <v>43144</v>
      </c>
      <c r="D225" t="str">
        <f>"242"</f>
        <v>242</v>
      </c>
      <c r="E225" s="2">
        <v>42947</v>
      </c>
      <c r="F225">
        <v>0</v>
      </c>
      <c r="G225" s="2">
        <v>43145</v>
      </c>
      <c r="H225" s="2">
        <v>42984</v>
      </c>
      <c r="I225" t="s">
        <v>16</v>
      </c>
      <c r="J225">
        <v>85.4</v>
      </c>
      <c r="K225">
        <v>15.4</v>
      </c>
      <c r="L225">
        <v>70</v>
      </c>
      <c r="M225">
        <v>161</v>
      </c>
      <c r="N225" s="3">
        <v>11270</v>
      </c>
      <c r="O225" s="1" t="s">
        <v>71</v>
      </c>
    </row>
    <row r="226" spans="1:15" ht="28.8">
      <c r="A226" s="6" t="s">
        <v>72</v>
      </c>
      <c r="B226">
        <v>4</v>
      </c>
      <c r="C226" s="2">
        <v>43123</v>
      </c>
      <c r="D226" t="s">
        <v>73</v>
      </c>
      <c r="E226" s="2">
        <v>42927</v>
      </c>
      <c r="F226">
        <v>0</v>
      </c>
      <c r="G226" s="2">
        <v>43123</v>
      </c>
      <c r="H226" s="2">
        <v>42963</v>
      </c>
      <c r="I226" t="s">
        <v>18</v>
      </c>
      <c r="J226" s="3">
        <v>22373.73</v>
      </c>
      <c r="K226" s="3">
        <v>2033.98</v>
      </c>
      <c r="L226" s="3">
        <v>20339.75</v>
      </c>
      <c r="M226">
        <v>160</v>
      </c>
      <c r="N226" s="3">
        <v>3254360</v>
      </c>
      <c r="O226" s="1" t="s">
        <v>74</v>
      </c>
    </row>
    <row r="227" spans="1:15" ht="15">
      <c r="A227" s="6" t="s">
        <v>15</v>
      </c>
      <c r="B227">
        <v>272</v>
      </c>
      <c r="C227" s="2">
        <v>43173</v>
      </c>
      <c r="D227" t="str">
        <f>"9017012000006041"</f>
        <v>9017012000006041</v>
      </c>
      <c r="E227" s="2">
        <v>42992</v>
      </c>
      <c r="F227">
        <v>0</v>
      </c>
      <c r="G227" s="2">
        <v>43174</v>
      </c>
      <c r="H227" s="2">
        <v>43034</v>
      </c>
      <c r="I227" t="s">
        <v>16</v>
      </c>
      <c r="J227">
        <v>45.08</v>
      </c>
      <c r="K227">
        <v>4.1</v>
      </c>
      <c r="L227">
        <v>40.98</v>
      </c>
      <c r="M227">
        <v>140</v>
      </c>
      <c r="N227" s="3">
        <v>5737.2</v>
      </c>
      <c r="O227" s="1" t="s">
        <v>51</v>
      </c>
    </row>
    <row r="228" spans="1:15" ht="15">
      <c r="A228" s="6" t="s">
        <v>15</v>
      </c>
      <c r="B228">
        <v>272</v>
      </c>
      <c r="C228" s="2">
        <v>43173</v>
      </c>
      <c r="D228" t="str">
        <f>"9017012000005689"</f>
        <v>9017012000005689</v>
      </c>
      <c r="E228" s="2">
        <v>42992</v>
      </c>
      <c r="F228">
        <v>0</v>
      </c>
      <c r="G228" s="2">
        <v>43174</v>
      </c>
      <c r="H228" s="2">
        <v>43034</v>
      </c>
      <c r="I228" t="s">
        <v>16</v>
      </c>
      <c r="J228">
        <v>23.36</v>
      </c>
      <c r="K228">
        <v>2.12</v>
      </c>
      <c r="L228">
        <v>21.24</v>
      </c>
      <c r="M228">
        <v>140</v>
      </c>
      <c r="N228" s="3">
        <v>2973.6</v>
      </c>
      <c r="O228" s="1" t="s">
        <v>51</v>
      </c>
    </row>
    <row r="229" spans="1:15" ht="15">
      <c r="A229" s="6" t="s">
        <v>15</v>
      </c>
      <c r="B229">
        <v>272</v>
      </c>
      <c r="C229" s="2">
        <v>43173</v>
      </c>
      <c r="D229" t="str">
        <f>"9017012000006273"</f>
        <v>9017012000006273</v>
      </c>
      <c r="E229" s="2">
        <v>42992</v>
      </c>
      <c r="F229">
        <v>0</v>
      </c>
      <c r="G229" s="2">
        <v>43174</v>
      </c>
      <c r="H229" s="2">
        <v>43034</v>
      </c>
      <c r="I229" t="s">
        <v>16</v>
      </c>
      <c r="J229">
        <v>39.19</v>
      </c>
      <c r="K229">
        <v>3.56</v>
      </c>
      <c r="L229">
        <v>35.63</v>
      </c>
      <c r="M229">
        <v>140</v>
      </c>
      <c r="N229" s="3">
        <v>4988.2</v>
      </c>
      <c r="O229" s="1" t="s">
        <v>51</v>
      </c>
    </row>
    <row r="230" spans="1:15" ht="15">
      <c r="A230" s="6" t="s">
        <v>15</v>
      </c>
      <c r="B230">
        <v>272</v>
      </c>
      <c r="C230" s="2">
        <v>43173</v>
      </c>
      <c r="D230" t="str">
        <f>"9017012000004696"</f>
        <v>9017012000004696</v>
      </c>
      <c r="E230" s="2">
        <v>42992</v>
      </c>
      <c r="F230">
        <v>0</v>
      </c>
      <c r="G230" s="2">
        <v>43174</v>
      </c>
      <c r="H230" s="2">
        <v>43034</v>
      </c>
      <c r="I230" t="s">
        <v>16</v>
      </c>
      <c r="J230">
        <v>23.38</v>
      </c>
      <c r="K230">
        <v>2.13</v>
      </c>
      <c r="L230">
        <v>21.25</v>
      </c>
      <c r="M230">
        <v>140</v>
      </c>
      <c r="N230" s="3">
        <v>2975</v>
      </c>
      <c r="O230" s="1" t="s">
        <v>51</v>
      </c>
    </row>
    <row r="231" spans="1:15" ht="15">
      <c r="A231" s="6" t="s">
        <v>15</v>
      </c>
      <c r="B231">
        <v>272</v>
      </c>
      <c r="C231" s="2">
        <v>43173</v>
      </c>
      <c r="D231" t="str">
        <f>"9017012000005690"</f>
        <v>9017012000005690</v>
      </c>
      <c r="E231" s="2">
        <v>42992</v>
      </c>
      <c r="F231">
        <v>0</v>
      </c>
      <c r="G231" s="2">
        <v>43174</v>
      </c>
      <c r="H231" s="2">
        <v>43034</v>
      </c>
      <c r="I231" t="s">
        <v>16</v>
      </c>
      <c r="J231">
        <v>84.39</v>
      </c>
      <c r="K231">
        <v>7.67</v>
      </c>
      <c r="L231">
        <v>76.72</v>
      </c>
      <c r="M231">
        <v>140</v>
      </c>
      <c r="N231" s="3">
        <v>10740.8</v>
      </c>
      <c r="O231" s="1" t="s">
        <v>51</v>
      </c>
    </row>
    <row r="232" spans="1:15" ht="15">
      <c r="A232" s="6" t="s">
        <v>15</v>
      </c>
      <c r="B232">
        <v>275</v>
      </c>
      <c r="C232" s="2">
        <v>43173</v>
      </c>
      <c r="D232" t="str">
        <f>"9017012000004577"</f>
        <v>9017012000004577</v>
      </c>
      <c r="E232" s="2">
        <v>42992</v>
      </c>
      <c r="F232">
        <v>0</v>
      </c>
      <c r="G232" s="2">
        <v>43174</v>
      </c>
      <c r="H232" s="2">
        <v>43034</v>
      </c>
      <c r="I232" t="s">
        <v>16</v>
      </c>
      <c r="J232">
        <v>87.68</v>
      </c>
      <c r="K232">
        <v>7.97</v>
      </c>
      <c r="L232">
        <v>79.71</v>
      </c>
      <c r="M232">
        <v>140</v>
      </c>
      <c r="N232" s="3">
        <v>11159.4</v>
      </c>
      <c r="O232" s="1" t="s">
        <v>51</v>
      </c>
    </row>
    <row r="233" spans="1:15" ht="15">
      <c r="A233" s="6" t="s">
        <v>15</v>
      </c>
      <c r="B233">
        <v>272</v>
      </c>
      <c r="C233" s="2">
        <v>43173</v>
      </c>
      <c r="D233" t="str">
        <f>"9017012000005856"</f>
        <v>9017012000005856</v>
      </c>
      <c r="E233" s="2">
        <v>42992</v>
      </c>
      <c r="F233">
        <v>0</v>
      </c>
      <c r="G233" s="2">
        <v>43174</v>
      </c>
      <c r="H233" s="2">
        <v>43034</v>
      </c>
      <c r="I233" t="s">
        <v>16</v>
      </c>
      <c r="J233">
        <v>51.3</v>
      </c>
      <c r="K233">
        <v>4.66</v>
      </c>
      <c r="L233">
        <v>46.64</v>
      </c>
      <c r="M233">
        <v>140</v>
      </c>
      <c r="N233" s="3">
        <v>6529.6</v>
      </c>
      <c r="O233" s="1" t="s">
        <v>51</v>
      </c>
    </row>
    <row r="234" spans="1:15" ht="15">
      <c r="A234" s="6" t="s">
        <v>15</v>
      </c>
      <c r="B234">
        <v>272</v>
      </c>
      <c r="C234" s="2">
        <v>43173</v>
      </c>
      <c r="D234" t="str">
        <f>"9017012000006308"</f>
        <v>9017012000006308</v>
      </c>
      <c r="E234" s="2">
        <v>42992</v>
      </c>
      <c r="F234">
        <v>0</v>
      </c>
      <c r="G234" s="2">
        <v>43174</v>
      </c>
      <c r="H234" s="2">
        <v>43034</v>
      </c>
      <c r="I234" t="s">
        <v>16</v>
      </c>
      <c r="J234">
        <v>23.36</v>
      </c>
      <c r="K234">
        <v>2.12</v>
      </c>
      <c r="L234">
        <v>21.24</v>
      </c>
      <c r="M234">
        <v>140</v>
      </c>
      <c r="N234" s="3">
        <v>2973.6</v>
      </c>
      <c r="O234" s="1" t="s">
        <v>51</v>
      </c>
    </row>
    <row r="235" spans="1:15" ht="15">
      <c r="A235" s="6" t="s">
        <v>15</v>
      </c>
      <c r="B235">
        <v>272</v>
      </c>
      <c r="C235" s="2">
        <v>43173</v>
      </c>
      <c r="D235" t="str">
        <f>"9017012000006274"</f>
        <v>9017012000006274</v>
      </c>
      <c r="E235" s="2">
        <v>42992</v>
      </c>
      <c r="F235">
        <v>0</v>
      </c>
      <c r="G235" s="2">
        <v>43174</v>
      </c>
      <c r="H235" s="2">
        <v>43034</v>
      </c>
      <c r="I235" t="s">
        <v>16</v>
      </c>
      <c r="J235">
        <v>21.52</v>
      </c>
      <c r="K235">
        <v>1.96</v>
      </c>
      <c r="L235">
        <v>19.56</v>
      </c>
      <c r="M235">
        <v>140</v>
      </c>
      <c r="N235" s="3">
        <v>2738.4</v>
      </c>
      <c r="O235" s="1" t="s">
        <v>51</v>
      </c>
    </row>
    <row r="236" spans="1:15" ht="28.8">
      <c r="A236" s="6" t="s">
        <v>41</v>
      </c>
      <c r="B236">
        <v>409</v>
      </c>
      <c r="C236" s="2">
        <v>43186</v>
      </c>
      <c r="D236" s="4">
        <v>1222017</v>
      </c>
      <c r="E236" s="2">
        <v>43014</v>
      </c>
      <c r="F236">
        <v>0</v>
      </c>
      <c r="G236" s="2">
        <v>43186</v>
      </c>
      <c r="H236" s="2">
        <v>43047</v>
      </c>
      <c r="I236" t="s">
        <v>16</v>
      </c>
      <c r="J236" s="3">
        <v>1200</v>
      </c>
      <c r="K236">
        <v>0</v>
      </c>
      <c r="L236" s="3">
        <v>1200</v>
      </c>
      <c r="M236">
        <v>139</v>
      </c>
      <c r="N236" s="3">
        <v>166800</v>
      </c>
      <c r="O236" s="1" t="s">
        <v>75</v>
      </c>
    </row>
    <row r="237" spans="1:15" ht="15">
      <c r="A237" s="6" t="s">
        <v>15</v>
      </c>
      <c r="B237">
        <v>272</v>
      </c>
      <c r="C237" s="2">
        <v>43173</v>
      </c>
      <c r="D237" t="str">
        <f>"9017012000007401"</f>
        <v>9017012000007401</v>
      </c>
      <c r="E237" s="2">
        <v>43000</v>
      </c>
      <c r="F237">
        <v>0</v>
      </c>
      <c r="G237" s="2">
        <v>43174</v>
      </c>
      <c r="H237" s="2">
        <v>43062</v>
      </c>
      <c r="I237" t="s">
        <v>16</v>
      </c>
      <c r="J237">
        <v>8.51</v>
      </c>
      <c r="K237">
        <v>0.77</v>
      </c>
      <c r="L237">
        <v>7.74</v>
      </c>
      <c r="M237">
        <v>112</v>
      </c>
      <c r="N237">
        <v>866.88</v>
      </c>
      <c r="O237" s="1" t="s">
        <v>51</v>
      </c>
    </row>
    <row r="238" spans="1:15" ht="15">
      <c r="A238" s="6" t="s">
        <v>15</v>
      </c>
      <c r="B238">
        <v>272</v>
      </c>
      <c r="C238" s="2">
        <v>43173</v>
      </c>
      <c r="D238" t="str">
        <f>"9017012000007255"</f>
        <v>9017012000007255</v>
      </c>
      <c r="E238" s="2">
        <v>43000</v>
      </c>
      <c r="F238">
        <v>0</v>
      </c>
      <c r="G238" s="2">
        <v>43174</v>
      </c>
      <c r="H238" s="2">
        <v>43062</v>
      </c>
      <c r="I238" t="s">
        <v>16</v>
      </c>
      <c r="J238">
        <v>34.44</v>
      </c>
      <c r="K238">
        <v>3.13</v>
      </c>
      <c r="L238">
        <v>31.31</v>
      </c>
      <c r="M238">
        <v>112</v>
      </c>
      <c r="N238" s="3">
        <v>3506.72</v>
      </c>
      <c r="O238" s="1" t="s">
        <v>51</v>
      </c>
    </row>
    <row r="239" spans="1:15" ht="15">
      <c r="A239" s="6" t="s">
        <v>15</v>
      </c>
      <c r="B239">
        <v>275</v>
      </c>
      <c r="C239" s="2">
        <v>43173</v>
      </c>
      <c r="D239" t="str">
        <f>"9017012000007245"</f>
        <v>9017012000007245</v>
      </c>
      <c r="E239" s="2">
        <v>43000</v>
      </c>
      <c r="F239">
        <v>0</v>
      </c>
      <c r="G239" s="2">
        <v>43174</v>
      </c>
      <c r="H239" s="2">
        <v>43062</v>
      </c>
      <c r="I239" t="s">
        <v>16</v>
      </c>
      <c r="J239">
        <v>23.38</v>
      </c>
      <c r="K239">
        <v>2.13</v>
      </c>
      <c r="L239">
        <v>21.25</v>
      </c>
      <c r="M239">
        <v>112</v>
      </c>
      <c r="N239" s="3">
        <v>2380</v>
      </c>
      <c r="O239" s="1" t="s">
        <v>51</v>
      </c>
    </row>
    <row r="240" spans="1:15" ht="15">
      <c r="A240" s="6" t="s">
        <v>76</v>
      </c>
      <c r="B240">
        <v>109</v>
      </c>
      <c r="C240" s="2">
        <v>43139</v>
      </c>
      <c r="D240" t="s">
        <v>77</v>
      </c>
      <c r="E240" s="2">
        <v>43006</v>
      </c>
      <c r="F240">
        <v>0</v>
      </c>
      <c r="G240" s="2">
        <v>43139</v>
      </c>
      <c r="H240" s="2">
        <v>43036</v>
      </c>
      <c r="I240" t="s">
        <v>16</v>
      </c>
      <c r="J240" s="3">
        <v>1129.36</v>
      </c>
      <c r="K240">
        <v>203.66</v>
      </c>
      <c r="L240">
        <v>925.7</v>
      </c>
      <c r="M240">
        <v>103</v>
      </c>
      <c r="N240" s="3">
        <v>95347.1</v>
      </c>
      <c r="O240" s="1" t="s">
        <v>57</v>
      </c>
    </row>
    <row r="241" spans="1:15" ht="15">
      <c r="A241" s="6" t="s">
        <v>15</v>
      </c>
      <c r="B241">
        <v>274</v>
      </c>
      <c r="C241" s="2">
        <v>43173</v>
      </c>
      <c r="D241" t="str">
        <f>"9017012000010417"</f>
        <v>9017012000010417</v>
      </c>
      <c r="E241" s="2">
        <v>43038</v>
      </c>
      <c r="F241">
        <v>0</v>
      </c>
      <c r="G241" s="2">
        <v>43174</v>
      </c>
      <c r="H241" s="2">
        <v>43074</v>
      </c>
      <c r="I241" t="s">
        <v>16</v>
      </c>
      <c r="J241">
        <v>20.72</v>
      </c>
      <c r="K241">
        <v>1.88</v>
      </c>
      <c r="L241">
        <v>18.84</v>
      </c>
      <c r="M241">
        <v>100</v>
      </c>
      <c r="N241" s="3">
        <v>1884</v>
      </c>
      <c r="O241" s="1" t="s">
        <v>51</v>
      </c>
    </row>
    <row r="242" spans="1:15" ht="15">
      <c r="A242" s="6" t="s">
        <v>15</v>
      </c>
      <c r="B242">
        <v>274</v>
      </c>
      <c r="C242" s="2">
        <v>43173</v>
      </c>
      <c r="D242" t="str">
        <f>"9017012000010336"</f>
        <v>9017012000010336</v>
      </c>
      <c r="E242" s="2">
        <v>43038</v>
      </c>
      <c r="F242">
        <v>0</v>
      </c>
      <c r="G242" s="2">
        <v>43174</v>
      </c>
      <c r="H242" s="2">
        <v>43074</v>
      </c>
      <c r="I242" t="s">
        <v>16</v>
      </c>
      <c r="J242">
        <v>18.72</v>
      </c>
      <c r="K242">
        <v>1.7</v>
      </c>
      <c r="L242">
        <v>17.02</v>
      </c>
      <c r="M242">
        <v>100</v>
      </c>
      <c r="N242" s="3">
        <v>1702</v>
      </c>
      <c r="O242" s="1" t="s">
        <v>51</v>
      </c>
    </row>
    <row r="243" spans="1:15" ht="15">
      <c r="A243" s="6" t="s">
        <v>15</v>
      </c>
      <c r="B243">
        <v>272</v>
      </c>
      <c r="C243" s="2">
        <v>43173</v>
      </c>
      <c r="D243" t="str">
        <f>"9017012000008879"</f>
        <v>9017012000008879</v>
      </c>
      <c r="E243" s="2">
        <v>43038</v>
      </c>
      <c r="F243">
        <v>0</v>
      </c>
      <c r="G243" s="2">
        <v>43174</v>
      </c>
      <c r="H243" s="2">
        <v>43075</v>
      </c>
      <c r="I243" t="s">
        <v>16</v>
      </c>
      <c r="J243">
        <v>15.58</v>
      </c>
      <c r="K243">
        <v>1.42</v>
      </c>
      <c r="L243">
        <v>14.16</v>
      </c>
      <c r="M243">
        <v>99</v>
      </c>
      <c r="N243" s="3">
        <v>1401.84</v>
      </c>
      <c r="O243" s="1" t="s">
        <v>51</v>
      </c>
    </row>
    <row r="244" spans="1:15" ht="15">
      <c r="A244" s="6" t="s">
        <v>15</v>
      </c>
      <c r="B244">
        <v>273</v>
      </c>
      <c r="C244" s="2">
        <v>43173</v>
      </c>
      <c r="D244" t="str">
        <f>"9017012000010018"</f>
        <v>9017012000010018</v>
      </c>
      <c r="E244" s="2">
        <v>43038</v>
      </c>
      <c r="F244">
        <v>0</v>
      </c>
      <c r="G244" s="2">
        <v>43174</v>
      </c>
      <c r="H244" s="2">
        <v>43076</v>
      </c>
      <c r="I244" t="s">
        <v>16</v>
      </c>
      <c r="J244">
        <v>18.72</v>
      </c>
      <c r="K244">
        <v>1.7</v>
      </c>
      <c r="L244">
        <v>17.02</v>
      </c>
      <c r="M244">
        <v>98</v>
      </c>
      <c r="N244" s="3">
        <v>1667.96</v>
      </c>
      <c r="O244" s="1" t="s">
        <v>51</v>
      </c>
    </row>
    <row r="245" spans="1:15" ht="15">
      <c r="A245" s="6" t="s">
        <v>15</v>
      </c>
      <c r="B245">
        <v>272</v>
      </c>
      <c r="C245" s="2">
        <v>43173</v>
      </c>
      <c r="D245" t="str">
        <f>"9017012000008121"</f>
        <v>9017012000008121</v>
      </c>
      <c r="E245" s="2">
        <v>43038</v>
      </c>
      <c r="F245">
        <v>0</v>
      </c>
      <c r="G245" s="2">
        <v>43174</v>
      </c>
      <c r="H245" s="2">
        <v>43076</v>
      </c>
      <c r="I245" t="s">
        <v>16</v>
      </c>
      <c r="J245">
        <v>29.78</v>
      </c>
      <c r="K245">
        <v>2.71</v>
      </c>
      <c r="L245">
        <v>27.07</v>
      </c>
      <c r="M245">
        <v>98</v>
      </c>
      <c r="N245" s="3">
        <v>2652.86</v>
      </c>
      <c r="O245" s="1" t="s">
        <v>51</v>
      </c>
    </row>
    <row r="246" spans="1:15" ht="15">
      <c r="A246" s="6" t="s">
        <v>15</v>
      </c>
      <c r="B246">
        <v>272</v>
      </c>
      <c r="C246" s="2">
        <v>43173</v>
      </c>
      <c r="D246" t="str">
        <f>"9017012000010300"</f>
        <v>9017012000010300</v>
      </c>
      <c r="E246" s="2">
        <v>43038</v>
      </c>
      <c r="F246">
        <v>0</v>
      </c>
      <c r="G246" s="2">
        <v>43174</v>
      </c>
      <c r="H246" s="2">
        <v>43076</v>
      </c>
      <c r="I246" t="s">
        <v>16</v>
      </c>
      <c r="J246">
        <v>7.04</v>
      </c>
      <c r="K246">
        <v>0.64</v>
      </c>
      <c r="L246">
        <v>6.4</v>
      </c>
      <c r="M246">
        <v>98</v>
      </c>
      <c r="N246">
        <v>627.2</v>
      </c>
      <c r="O246" s="1" t="s">
        <v>51</v>
      </c>
    </row>
    <row r="247" spans="1:15" ht="15">
      <c r="A247" s="6" t="s">
        <v>15</v>
      </c>
      <c r="B247">
        <v>275</v>
      </c>
      <c r="C247" s="2">
        <v>43173</v>
      </c>
      <c r="D247" t="str">
        <f>"9017012000008415"</f>
        <v>9017012000008415</v>
      </c>
      <c r="E247" s="2">
        <v>43038</v>
      </c>
      <c r="F247">
        <v>0</v>
      </c>
      <c r="G247" s="2">
        <v>43174</v>
      </c>
      <c r="H247" s="2">
        <v>43076</v>
      </c>
      <c r="I247" t="s">
        <v>16</v>
      </c>
      <c r="J247">
        <v>16.18</v>
      </c>
      <c r="K247">
        <v>1.47</v>
      </c>
      <c r="L247">
        <v>14.71</v>
      </c>
      <c r="M247">
        <v>98</v>
      </c>
      <c r="N247" s="3">
        <v>1441.58</v>
      </c>
      <c r="O247" s="1" t="s">
        <v>51</v>
      </c>
    </row>
    <row r="248" spans="1:15" ht="15">
      <c r="A248" s="6" t="s">
        <v>15</v>
      </c>
      <c r="B248">
        <v>272</v>
      </c>
      <c r="C248" s="2">
        <v>43173</v>
      </c>
      <c r="D248" t="str">
        <f>"9017012000008562"</f>
        <v>9017012000008562</v>
      </c>
      <c r="E248" s="2">
        <v>43038</v>
      </c>
      <c r="F248">
        <v>0</v>
      </c>
      <c r="G248" s="2">
        <v>43174</v>
      </c>
      <c r="H248" s="2">
        <v>43076</v>
      </c>
      <c r="I248" t="s">
        <v>16</v>
      </c>
      <c r="J248">
        <v>2.51</v>
      </c>
      <c r="K248">
        <v>0.23</v>
      </c>
      <c r="L248">
        <v>2.28</v>
      </c>
      <c r="M248">
        <v>98</v>
      </c>
      <c r="N248">
        <v>223.44</v>
      </c>
      <c r="O248" s="1" t="s">
        <v>51</v>
      </c>
    </row>
    <row r="249" spans="1:15" ht="15">
      <c r="A249" s="6" t="s">
        <v>15</v>
      </c>
      <c r="B249">
        <v>272</v>
      </c>
      <c r="C249" s="2">
        <v>43173</v>
      </c>
      <c r="D249" t="str">
        <f>"9017012000008120"</f>
        <v>9017012000008120</v>
      </c>
      <c r="E249" s="2">
        <v>43038</v>
      </c>
      <c r="F249">
        <v>0</v>
      </c>
      <c r="G249" s="2">
        <v>43174</v>
      </c>
      <c r="H249" s="2">
        <v>43076</v>
      </c>
      <c r="I249" t="s">
        <v>16</v>
      </c>
      <c r="J249">
        <v>7.04</v>
      </c>
      <c r="K249">
        <v>0.64</v>
      </c>
      <c r="L249">
        <v>6.4</v>
      </c>
      <c r="M249">
        <v>98</v>
      </c>
      <c r="N249">
        <v>627.2</v>
      </c>
      <c r="O249" s="1" t="s">
        <v>51</v>
      </c>
    </row>
    <row r="250" spans="1:15" ht="15">
      <c r="A250" s="6" t="s">
        <v>15</v>
      </c>
      <c r="B250">
        <v>276</v>
      </c>
      <c r="C250" s="2">
        <v>43173</v>
      </c>
      <c r="D250" t="str">
        <f>"9017012000009310"</f>
        <v>9017012000009310</v>
      </c>
      <c r="E250" s="2">
        <v>43038</v>
      </c>
      <c r="F250">
        <v>0</v>
      </c>
      <c r="G250" s="2">
        <v>43174</v>
      </c>
      <c r="H250" s="2">
        <v>43076</v>
      </c>
      <c r="I250" t="s">
        <v>16</v>
      </c>
      <c r="J250">
        <v>6.89</v>
      </c>
      <c r="K250">
        <v>0.63</v>
      </c>
      <c r="L250">
        <v>6.26</v>
      </c>
      <c r="M250">
        <v>98</v>
      </c>
      <c r="N250">
        <v>613.48</v>
      </c>
      <c r="O250" s="1" t="s">
        <v>51</v>
      </c>
    </row>
    <row r="251" spans="1:15" ht="15">
      <c r="A251" s="6" t="s">
        <v>15</v>
      </c>
      <c r="B251">
        <v>272</v>
      </c>
      <c r="C251" s="2">
        <v>43173</v>
      </c>
      <c r="D251" t="str">
        <f>"9017012000010017"</f>
        <v>9017012000010017</v>
      </c>
      <c r="E251" s="2">
        <v>43038</v>
      </c>
      <c r="F251">
        <v>0</v>
      </c>
      <c r="G251" s="2">
        <v>43174</v>
      </c>
      <c r="H251" s="2">
        <v>43076</v>
      </c>
      <c r="I251" t="s">
        <v>16</v>
      </c>
      <c r="J251">
        <v>8.84</v>
      </c>
      <c r="K251">
        <v>0.8</v>
      </c>
      <c r="L251">
        <v>8.04</v>
      </c>
      <c r="M251">
        <v>98</v>
      </c>
      <c r="N251">
        <v>787.92</v>
      </c>
      <c r="O251" s="1" t="s">
        <v>51</v>
      </c>
    </row>
    <row r="252" spans="1:15" ht="15">
      <c r="A252" s="6" t="s">
        <v>15</v>
      </c>
      <c r="B252">
        <v>272</v>
      </c>
      <c r="C252" s="2">
        <v>43173</v>
      </c>
      <c r="D252" t="str">
        <f>"9017012000009962"</f>
        <v>9017012000009962</v>
      </c>
      <c r="E252" s="2">
        <v>43038</v>
      </c>
      <c r="F252">
        <v>0</v>
      </c>
      <c r="G252" s="2">
        <v>43174</v>
      </c>
      <c r="H252" s="2">
        <v>43076</v>
      </c>
      <c r="I252" t="s">
        <v>16</v>
      </c>
      <c r="J252">
        <v>6.89</v>
      </c>
      <c r="K252">
        <v>0.63</v>
      </c>
      <c r="L252">
        <v>6.26</v>
      </c>
      <c r="M252">
        <v>98</v>
      </c>
      <c r="N252">
        <v>613.48</v>
      </c>
      <c r="O252" s="1" t="s">
        <v>51</v>
      </c>
    </row>
    <row r="253" spans="1:15" ht="15">
      <c r="A253" s="6" t="s">
        <v>78</v>
      </c>
      <c r="B253">
        <v>100</v>
      </c>
      <c r="C253" s="2">
        <v>43138</v>
      </c>
      <c r="D253" t="s">
        <v>79</v>
      </c>
      <c r="E253" s="2">
        <v>43004</v>
      </c>
      <c r="F253">
        <v>0</v>
      </c>
      <c r="G253" s="2">
        <v>43138</v>
      </c>
      <c r="H253" s="2">
        <v>43043</v>
      </c>
      <c r="I253" t="s">
        <v>16</v>
      </c>
      <c r="J253">
        <v>170.8</v>
      </c>
      <c r="K253">
        <v>30.8</v>
      </c>
      <c r="L253">
        <v>140</v>
      </c>
      <c r="M253">
        <v>95</v>
      </c>
      <c r="N253" s="3">
        <v>13300</v>
      </c>
      <c r="O253" s="1" t="s">
        <v>30</v>
      </c>
    </row>
    <row r="254" spans="1:15" ht="28.8">
      <c r="A254" s="6" t="s">
        <v>80</v>
      </c>
      <c r="B254">
        <v>164</v>
      </c>
      <c r="C254" s="2">
        <v>43151</v>
      </c>
      <c r="D254" t="s">
        <v>81</v>
      </c>
      <c r="E254" s="2">
        <v>43028</v>
      </c>
      <c r="F254">
        <v>0</v>
      </c>
      <c r="G254" s="2">
        <v>43152</v>
      </c>
      <c r="H254" s="2">
        <v>43058</v>
      </c>
      <c r="I254" t="s">
        <v>16</v>
      </c>
      <c r="J254">
        <v>61</v>
      </c>
      <c r="K254">
        <v>11</v>
      </c>
      <c r="L254">
        <v>50</v>
      </c>
      <c r="M254">
        <v>94</v>
      </c>
      <c r="N254" s="3">
        <v>4700</v>
      </c>
      <c r="O254" s="1" t="s">
        <v>74</v>
      </c>
    </row>
    <row r="255" spans="1:15" ht="15">
      <c r="A255" s="6" t="s">
        <v>82</v>
      </c>
      <c r="B255">
        <v>199</v>
      </c>
      <c r="C255" s="2">
        <v>43152</v>
      </c>
      <c r="D255" t="s">
        <v>83</v>
      </c>
      <c r="E255" s="2">
        <v>43033</v>
      </c>
      <c r="F255">
        <v>0</v>
      </c>
      <c r="G255" s="2">
        <v>43152</v>
      </c>
      <c r="H255" s="2">
        <v>43064</v>
      </c>
      <c r="I255" t="s">
        <v>16</v>
      </c>
      <c r="J255">
        <v>400</v>
      </c>
      <c r="K255">
        <v>0</v>
      </c>
      <c r="L255">
        <v>400</v>
      </c>
      <c r="M255">
        <v>88</v>
      </c>
      <c r="N255" s="3">
        <v>35200</v>
      </c>
      <c r="O255" s="1" t="s">
        <v>54</v>
      </c>
    </row>
    <row r="256" spans="1:15" ht="28.8">
      <c r="A256" s="6" t="s">
        <v>84</v>
      </c>
      <c r="B256">
        <v>168</v>
      </c>
      <c r="C256" s="2">
        <v>43151</v>
      </c>
      <c r="D256" t="s">
        <v>85</v>
      </c>
      <c r="E256" s="2">
        <v>43033</v>
      </c>
      <c r="F256">
        <v>0</v>
      </c>
      <c r="G256" s="2">
        <v>43152</v>
      </c>
      <c r="H256" s="2">
        <v>43064</v>
      </c>
      <c r="I256" t="s">
        <v>16</v>
      </c>
      <c r="J256">
        <v>148</v>
      </c>
      <c r="K256">
        <v>0</v>
      </c>
      <c r="L256">
        <v>148</v>
      </c>
      <c r="M256">
        <v>88</v>
      </c>
      <c r="N256" s="3">
        <v>13024</v>
      </c>
      <c r="O256" s="1" t="s">
        <v>86</v>
      </c>
    </row>
    <row r="257" spans="1:15" ht="15">
      <c r="A257" s="6" t="s">
        <v>87</v>
      </c>
      <c r="B257">
        <v>373</v>
      </c>
      <c r="C257" s="2">
        <v>43186</v>
      </c>
      <c r="D257" t="s">
        <v>88</v>
      </c>
      <c r="E257" s="2">
        <v>43056</v>
      </c>
      <c r="F257">
        <v>0</v>
      </c>
      <c r="G257" s="2">
        <v>43186</v>
      </c>
      <c r="H257" s="2">
        <v>43098</v>
      </c>
      <c r="I257" t="s">
        <v>18</v>
      </c>
      <c r="J257">
        <v>45</v>
      </c>
      <c r="K257">
        <v>0</v>
      </c>
      <c r="L257">
        <v>45</v>
      </c>
      <c r="M257">
        <v>88</v>
      </c>
      <c r="N257" s="3">
        <v>3960</v>
      </c>
      <c r="O257" s="1" t="s">
        <v>30</v>
      </c>
    </row>
    <row r="258" spans="1:15" ht="15">
      <c r="A258" s="6" t="s">
        <v>61</v>
      </c>
      <c r="B258">
        <v>402</v>
      </c>
      <c r="C258" s="2">
        <v>43186</v>
      </c>
      <c r="D258" t="s">
        <v>89</v>
      </c>
      <c r="E258" s="2">
        <v>43008</v>
      </c>
      <c r="F258">
        <v>0</v>
      </c>
      <c r="G258" s="2">
        <v>43186</v>
      </c>
      <c r="H258" s="2">
        <v>43099</v>
      </c>
      <c r="I258" t="s">
        <v>16</v>
      </c>
      <c r="J258">
        <v>320</v>
      </c>
      <c r="K258">
        <v>15.24</v>
      </c>
      <c r="L258">
        <v>304.76</v>
      </c>
      <c r="M258">
        <v>87</v>
      </c>
      <c r="N258" s="3">
        <v>26514.12</v>
      </c>
      <c r="O258" s="1" t="s">
        <v>63</v>
      </c>
    </row>
    <row r="259" spans="1:15" ht="15">
      <c r="A259" s="6" t="s">
        <v>90</v>
      </c>
      <c r="B259">
        <v>250</v>
      </c>
      <c r="C259" s="2">
        <v>43161</v>
      </c>
      <c r="D259" t="str">
        <f>"20"</f>
        <v>20</v>
      </c>
      <c r="E259" s="2">
        <v>43049</v>
      </c>
      <c r="F259">
        <v>0</v>
      </c>
      <c r="G259" s="2">
        <v>43161</v>
      </c>
      <c r="H259" s="2">
        <v>43079</v>
      </c>
      <c r="I259" t="s">
        <v>16</v>
      </c>
      <c r="J259" s="3">
        <v>8916</v>
      </c>
      <c r="K259">
        <v>810.54</v>
      </c>
      <c r="L259" s="3">
        <v>8105.46</v>
      </c>
      <c r="M259">
        <v>82</v>
      </c>
      <c r="N259" s="3">
        <v>664647.72</v>
      </c>
      <c r="O259" s="1" t="s">
        <v>71</v>
      </c>
    </row>
    <row r="260" spans="1:15" ht="28.8">
      <c r="A260" s="6" t="s">
        <v>91</v>
      </c>
      <c r="B260">
        <v>61</v>
      </c>
      <c r="C260" s="2">
        <v>43126</v>
      </c>
      <c r="D260" t="s">
        <v>92</v>
      </c>
      <c r="E260" s="2">
        <v>43008</v>
      </c>
      <c r="F260">
        <v>0</v>
      </c>
      <c r="G260" s="2">
        <v>43126</v>
      </c>
      <c r="H260" s="2">
        <v>43047</v>
      </c>
      <c r="I260" t="s">
        <v>16</v>
      </c>
      <c r="J260" s="3">
        <v>10379.76</v>
      </c>
      <c r="K260" s="3">
        <v>1871.76</v>
      </c>
      <c r="L260" s="3">
        <v>8508</v>
      </c>
      <c r="M260">
        <v>79</v>
      </c>
      <c r="N260" s="3">
        <v>672132</v>
      </c>
      <c r="O260" s="1" t="s">
        <v>93</v>
      </c>
    </row>
    <row r="261" spans="1:15" ht="28.8">
      <c r="A261" s="6" t="s">
        <v>94</v>
      </c>
      <c r="B261">
        <v>252</v>
      </c>
      <c r="C261" s="2">
        <v>43161</v>
      </c>
      <c r="D261" t="s">
        <v>95</v>
      </c>
      <c r="E261" s="2">
        <v>43052</v>
      </c>
      <c r="F261">
        <v>0</v>
      </c>
      <c r="G261" s="2">
        <v>43161</v>
      </c>
      <c r="H261" s="2">
        <v>43082</v>
      </c>
      <c r="I261" t="s">
        <v>16</v>
      </c>
      <c r="J261" s="3">
        <v>2532</v>
      </c>
      <c r="K261">
        <v>230.18</v>
      </c>
      <c r="L261" s="3">
        <v>2301.82</v>
      </c>
      <c r="M261">
        <v>79</v>
      </c>
      <c r="N261" s="3">
        <v>181843.78</v>
      </c>
      <c r="O261" s="1" t="s">
        <v>96</v>
      </c>
    </row>
    <row r="262" spans="1:15" ht="15">
      <c r="A262" s="6" t="s">
        <v>97</v>
      </c>
      <c r="B262">
        <v>251</v>
      </c>
      <c r="C262" s="2">
        <v>43161</v>
      </c>
      <c r="D262" t="s">
        <v>98</v>
      </c>
      <c r="E262" s="2">
        <v>43052</v>
      </c>
      <c r="F262">
        <v>0</v>
      </c>
      <c r="G262" s="2">
        <v>43161</v>
      </c>
      <c r="H262" s="2">
        <v>43082</v>
      </c>
      <c r="I262" t="s">
        <v>16</v>
      </c>
      <c r="J262" s="3">
        <v>9702</v>
      </c>
      <c r="K262">
        <v>882</v>
      </c>
      <c r="L262" s="3">
        <v>8820</v>
      </c>
      <c r="M262">
        <v>79</v>
      </c>
      <c r="N262" s="3">
        <v>696780</v>
      </c>
      <c r="O262" s="1" t="s">
        <v>99</v>
      </c>
    </row>
    <row r="263" spans="1:15" ht="28.8">
      <c r="A263" s="6" t="s">
        <v>100</v>
      </c>
      <c r="B263">
        <v>265</v>
      </c>
      <c r="C263" s="2">
        <v>43173</v>
      </c>
      <c r="D263" t="s">
        <v>73</v>
      </c>
      <c r="E263" s="2">
        <v>43066</v>
      </c>
      <c r="F263">
        <v>0</v>
      </c>
      <c r="G263" s="2">
        <v>43174</v>
      </c>
      <c r="H263" s="2">
        <v>43096</v>
      </c>
      <c r="I263" t="s">
        <v>16</v>
      </c>
      <c r="J263" s="3">
        <v>4029.96</v>
      </c>
      <c r="K263">
        <v>726.72</v>
      </c>
      <c r="L263" s="3">
        <v>3303.24</v>
      </c>
      <c r="M263">
        <v>78</v>
      </c>
      <c r="N263" s="3">
        <v>257652.72</v>
      </c>
      <c r="O263" s="1" t="s">
        <v>27</v>
      </c>
    </row>
    <row r="264" spans="1:15" ht="28.8">
      <c r="A264" s="6" t="s">
        <v>100</v>
      </c>
      <c r="B264">
        <v>264</v>
      </c>
      <c r="C264" s="2">
        <v>43173</v>
      </c>
      <c r="D264" t="s">
        <v>73</v>
      </c>
      <c r="E264" s="2">
        <v>43066</v>
      </c>
      <c r="F264">
        <v>0</v>
      </c>
      <c r="G264" s="2">
        <v>43174</v>
      </c>
      <c r="H264" s="2">
        <v>43096</v>
      </c>
      <c r="I264" t="s">
        <v>16</v>
      </c>
      <c r="J264" s="3">
        <v>4756.68</v>
      </c>
      <c r="K264">
        <v>857.76</v>
      </c>
      <c r="L264" s="3">
        <v>3898.92</v>
      </c>
      <c r="M264">
        <v>78</v>
      </c>
      <c r="N264" s="3">
        <v>304115.76</v>
      </c>
      <c r="O264" s="1" t="s">
        <v>27</v>
      </c>
    </row>
    <row r="265" spans="1:15" ht="15">
      <c r="A265" s="6" t="s">
        <v>101</v>
      </c>
      <c r="B265">
        <v>158</v>
      </c>
      <c r="C265" s="2">
        <v>43150</v>
      </c>
      <c r="D265" t="s">
        <v>102</v>
      </c>
      <c r="E265" s="2">
        <v>43039</v>
      </c>
      <c r="F265">
        <v>0</v>
      </c>
      <c r="G265" s="2">
        <v>43152</v>
      </c>
      <c r="H265" s="2">
        <v>43079</v>
      </c>
      <c r="I265" t="s">
        <v>16</v>
      </c>
      <c r="J265">
        <v>256.91</v>
      </c>
      <c r="K265">
        <v>28.51</v>
      </c>
      <c r="L265">
        <v>228.4</v>
      </c>
      <c r="M265">
        <v>73</v>
      </c>
      <c r="N265" s="3">
        <v>16673.2</v>
      </c>
      <c r="O265" s="1" t="s">
        <v>103</v>
      </c>
    </row>
    <row r="266" spans="1:15" ht="15">
      <c r="A266" s="6" t="s">
        <v>15</v>
      </c>
      <c r="B266">
        <v>274</v>
      </c>
      <c r="C266" s="2">
        <v>43173</v>
      </c>
      <c r="D266" t="str">
        <f>"9017012000013798"</f>
        <v>9017012000013798</v>
      </c>
      <c r="E266" s="2">
        <v>43069</v>
      </c>
      <c r="F266">
        <v>0</v>
      </c>
      <c r="G266" s="2">
        <v>43174</v>
      </c>
      <c r="H266" s="2">
        <v>43104</v>
      </c>
      <c r="I266" t="s">
        <v>16</v>
      </c>
      <c r="J266">
        <v>9.42</v>
      </c>
      <c r="K266">
        <v>0.86</v>
      </c>
      <c r="L266">
        <v>8.56</v>
      </c>
      <c r="M266">
        <v>70</v>
      </c>
      <c r="N266">
        <v>599.2</v>
      </c>
      <c r="O266" s="1" t="s">
        <v>51</v>
      </c>
    </row>
    <row r="267" spans="1:15" ht="15">
      <c r="A267" s="6" t="s">
        <v>15</v>
      </c>
      <c r="B267">
        <v>274</v>
      </c>
      <c r="C267" s="2">
        <v>43173</v>
      </c>
      <c r="D267" t="str">
        <f>"9017012000013665"</f>
        <v>9017012000013665</v>
      </c>
      <c r="E267" s="2">
        <v>43069</v>
      </c>
      <c r="F267">
        <v>0</v>
      </c>
      <c r="G267" s="2">
        <v>43174</v>
      </c>
      <c r="H267" s="2">
        <v>43104</v>
      </c>
      <c r="I267" t="s">
        <v>16</v>
      </c>
      <c r="J267">
        <v>2.24</v>
      </c>
      <c r="K267">
        <v>0.2</v>
      </c>
      <c r="L267">
        <v>2.04</v>
      </c>
      <c r="M267">
        <v>70</v>
      </c>
      <c r="N267">
        <v>142.8</v>
      </c>
      <c r="O267" s="1" t="s">
        <v>51</v>
      </c>
    </row>
    <row r="268" spans="1:15" ht="15">
      <c r="A268" s="6" t="s">
        <v>15</v>
      </c>
      <c r="B268">
        <v>274</v>
      </c>
      <c r="C268" s="2">
        <v>43173</v>
      </c>
      <c r="D268" t="str">
        <f>"9017012000013796"</f>
        <v>9017012000013796</v>
      </c>
      <c r="E268" s="2">
        <v>43069</v>
      </c>
      <c r="F268">
        <v>0</v>
      </c>
      <c r="G268" s="2">
        <v>43174</v>
      </c>
      <c r="H268" s="2">
        <v>43104</v>
      </c>
      <c r="I268" t="s">
        <v>16</v>
      </c>
      <c r="J268">
        <v>2.24</v>
      </c>
      <c r="K268">
        <v>0.2</v>
      </c>
      <c r="L268">
        <v>2.04</v>
      </c>
      <c r="M268">
        <v>70</v>
      </c>
      <c r="N268">
        <v>142.8</v>
      </c>
      <c r="O268" s="1" t="s">
        <v>51</v>
      </c>
    </row>
    <row r="269" spans="1:15" ht="15">
      <c r="A269" s="6" t="s">
        <v>15</v>
      </c>
      <c r="B269">
        <v>274</v>
      </c>
      <c r="C269" s="2">
        <v>43173</v>
      </c>
      <c r="D269" t="str">
        <f>"9017012000013839"</f>
        <v>9017012000013839</v>
      </c>
      <c r="E269" s="2">
        <v>43069</v>
      </c>
      <c r="F269">
        <v>0</v>
      </c>
      <c r="G269" s="2">
        <v>43174</v>
      </c>
      <c r="H269" s="2">
        <v>43104</v>
      </c>
      <c r="I269" t="s">
        <v>16</v>
      </c>
      <c r="J269">
        <v>2.4</v>
      </c>
      <c r="K269">
        <v>0.22</v>
      </c>
      <c r="L269">
        <v>2.18</v>
      </c>
      <c r="M269">
        <v>70</v>
      </c>
      <c r="N269">
        <v>152.6</v>
      </c>
      <c r="O269" s="1" t="s">
        <v>51</v>
      </c>
    </row>
    <row r="270" spans="1:15" ht="15">
      <c r="A270" s="6" t="s">
        <v>15</v>
      </c>
      <c r="B270">
        <v>274</v>
      </c>
      <c r="C270" s="2">
        <v>43173</v>
      </c>
      <c r="D270" t="str">
        <f>"9017012000013678"</f>
        <v>9017012000013678</v>
      </c>
      <c r="E270" s="2">
        <v>43069</v>
      </c>
      <c r="F270">
        <v>0</v>
      </c>
      <c r="G270" s="2">
        <v>43174</v>
      </c>
      <c r="H270" s="2">
        <v>43104</v>
      </c>
      <c r="I270" t="s">
        <v>16</v>
      </c>
      <c r="J270">
        <v>6.36</v>
      </c>
      <c r="K270">
        <v>0.58</v>
      </c>
      <c r="L270">
        <v>5.78</v>
      </c>
      <c r="M270">
        <v>70</v>
      </c>
      <c r="N270">
        <v>404.6</v>
      </c>
      <c r="O270" s="1" t="s">
        <v>51</v>
      </c>
    </row>
    <row r="271" spans="1:15" ht="15">
      <c r="A271" s="6" t="s">
        <v>15</v>
      </c>
      <c r="B271">
        <v>274</v>
      </c>
      <c r="C271" s="2">
        <v>43173</v>
      </c>
      <c r="D271" t="str">
        <f>"9017012000013840"</f>
        <v>9017012000013840</v>
      </c>
      <c r="E271" s="2">
        <v>43069</v>
      </c>
      <c r="F271">
        <v>0</v>
      </c>
      <c r="G271" s="2">
        <v>43174</v>
      </c>
      <c r="H271" s="2">
        <v>43104</v>
      </c>
      <c r="I271" t="s">
        <v>16</v>
      </c>
      <c r="J271">
        <v>6.36</v>
      </c>
      <c r="K271">
        <v>0.58</v>
      </c>
      <c r="L271">
        <v>5.78</v>
      </c>
      <c r="M271">
        <v>70</v>
      </c>
      <c r="N271">
        <v>404.6</v>
      </c>
      <c r="O271" s="1" t="s">
        <v>51</v>
      </c>
    </row>
    <row r="272" spans="1:15" ht="15">
      <c r="A272" s="6" t="s">
        <v>15</v>
      </c>
      <c r="B272">
        <v>274</v>
      </c>
      <c r="C272" s="2">
        <v>43173</v>
      </c>
      <c r="D272" t="str">
        <f>"9017012000014325"</f>
        <v>9017012000014325</v>
      </c>
      <c r="E272" s="2">
        <v>43069</v>
      </c>
      <c r="F272">
        <v>0</v>
      </c>
      <c r="G272" s="2">
        <v>43174</v>
      </c>
      <c r="H272" s="2">
        <v>43104</v>
      </c>
      <c r="I272" t="s">
        <v>16</v>
      </c>
      <c r="J272">
        <v>4.9</v>
      </c>
      <c r="K272">
        <v>0.45</v>
      </c>
      <c r="L272">
        <v>4.45</v>
      </c>
      <c r="M272">
        <v>70</v>
      </c>
      <c r="N272">
        <v>311.5</v>
      </c>
      <c r="O272" s="1" t="s">
        <v>51</v>
      </c>
    </row>
    <row r="273" spans="1:15" ht="15">
      <c r="A273" s="6" t="s">
        <v>104</v>
      </c>
      <c r="B273">
        <v>113</v>
      </c>
      <c r="C273" s="2">
        <v>43139</v>
      </c>
      <c r="D273" t="str">
        <f>"2"</f>
        <v>2</v>
      </c>
      <c r="E273" s="2">
        <v>43024</v>
      </c>
      <c r="F273">
        <v>0</v>
      </c>
      <c r="G273" s="2">
        <v>43139</v>
      </c>
      <c r="H273" s="2">
        <v>43069</v>
      </c>
      <c r="I273" t="s">
        <v>16</v>
      </c>
      <c r="J273" s="3">
        <v>3806.4</v>
      </c>
      <c r="K273">
        <v>686.4</v>
      </c>
      <c r="L273" s="3">
        <v>3120</v>
      </c>
      <c r="M273">
        <v>70</v>
      </c>
      <c r="N273" s="3">
        <v>218400</v>
      </c>
      <c r="O273" s="1" t="s">
        <v>105</v>
      </c>
    </row>
    <row r="274" spans="1:15" ht="28.8">
      <c r="A274" s="6" t="s">
        <v>80</v>
      </c>
      <c r="B274">
        <v>165</v>
      </c>
      <c r="C274" s="2">
        <v>43151</v>
      </c>
      <c r="D274" t="s">
        <v>106</v>
      </c>
      <c r="E274" s="2">
        <v>43053</v>
      </c>
      <c r="F274">
        <v>0</v>
      </c>
      <c r="G274" s="2">
        <v>43152</v>
      </c>
      <c r="H274" s="2">
        <v>43083</v>
      </c>
      <c r="I274" t="s">
        <v>16</v>
      </c>
      <c r="J274">
        <v>231.8</v>
      </c>
      <c r="K274">
        <v>41.8</v>
      </c>
      <c r="L274">
        <v>190</v>
      </c>
      <c r="M274">
        <v>69</v>
      </c>
      <c r="N274" s="3">
        <v>13110</v>
      </c>
      <c r="O274" s="1" t="s">
        <v>74</v>
      </c>
    </row>
    <row r="275" spans="1:15" ht="15">
      <c r="A275" s="6" t="s">
        <v>15</v>
      </c>
      <c r="B275">
        <v>274</v>
      </c>
      <c r="C275" s="2">
        <v>43173</v>
      </c>
      <c r="D275" t="str">
        <f>"9017012000014471"</f>
        <v>9017012000014471</v>
      </c>
      <c r="E275" s="2">
        <v>43069</v>
      </c>
      <c r="F275">
        <v>0</v>
      </c>
      <c r="G275" s="2">
        <v>43174</v>
      </c>
      <c r="H275" s="2">
        <v>43105</v>
      </c>
      <c r="I275" t="s">
        <v>16</v>
      </c>
      <c r="J275">
        <v>2.4</v>
      </c>
      <c r="K275">
        <v>0.22</v>
      </c>
      <c r="L275">
        <v>2.18</v>
      </c>
      <c r="M275">
        <v>69</v>
      </c>
      <c r="N275">
        <v>150.42</v>
      </c>
      <c r="O275" s="1" t="s">
        <v>51</v>
      </c>
    </row>
    <row r="276" spans="1:15" ht="15">
      <c r="A276" s="6" t="s">
        <v>15</v>
      </c>
      <c r="B276">
        <v>274</v>
      </c>
      <c r="C276" s="2">
        <v>43173</v>
      </c>
      <c r="D276" t="str">
        <f>"9017012000014710"</f>
        <v>9017012000014710</v>
      </c>
      <c r="E276" s="2">
        <v>43069</v>
      </c>
      <c r="F276">
        <v>0</v>
      </c>
      <c r="G276" s="2">
        <v>43174</v>
      </c>
      <c r="H276" s="2">
        <v>43105</v>
      </c>
      <c r="I276" t="s">
        <v>16</v>
      </c>
      <c r="J276">
        <v>6.36</v>
      </c>
      <c r="K276">
        <v>0.58</v>
      </c>
      <c r="L276">
        <v>5.78</v>
      </c>
      <c r="M276">
        <v>69</v>
      </c>
      <c r="N276">
        <v>398.82</v>
      </c>
      <c r="O276" s="1" t="s">
        <v>51</v>
      </c>
    </row>
    <row r="277" spans="1:15" ht="15">
      <c r="A277" s="6" t="s">
        <v>15</v>
      </c>
      <c r="B277">
        <v>274</v>
      </c>
      <c r="C277" s="2">
        <v>43173</v>
      </c>
      <c r="D277" t="str">
        <f>"9017012000013734"</f>
        <v>9017012000013734</v>
      </c>
      <c r="E277" s="2">
        <v>43069</v>
      </c>
      <c r="F277">
        <v>0</v>
      </c>
      <c r="G277" s="2">
        <v>43174</v>
      </c>
      <c r="H277" s="2">
        <v>43105</v>
      </c>
      <c r="I277" t="s">
        <v>16</v>
      </c>
      <c r="J277">
        <v>0.87</v>
      </c>
      <c r="K277">
        <v>0.08</v>
      </c>
      <c r="L277">
        <v>0.79</v>
      </c>
      <c r="M277">
        <v>69</v>
      </c>
      <c r="N277">
        <v>54.51</v>
      </c>
      <c r="O277" s="1" t="s">
        <v>51</v>
      </c>
    </row>
    <row r="278" spans="1:15" ht="15">
      <c r="A278" s="6" t="s">
        <v>97</v>
      </c>
      <c r="B278">
        <v>256</v>
      </c>
      <c r="C278" s="2">
        <v>43161</v>
      </c>
      <c r="D278" t="s">
        <v>107</v>
      </c>
      <c r="E278" s="2">
        <v>43062</v>
      </c>
      <c r="F278">
        <v>0</v>
      </c>
      <c r="G278" s="2">
        <v>43161</v>
      </c>
      <c r="H278" s="2">
        <v>43092</v>
      </c>
      <c r="I278" t="s">
        <v>16</v>
      </c>
      <c r="J278" s="3">
        <v>1950.83</v>
      </c>
      <c r="K278">
        <v>177.34</v>
      </c>
      <c r="L278" s="3">
        <v>1773.49</v>
      </c>
      <c r="M278">
        <v>69</v>
      </c>
      <c r="N278" s="3">
        <v>122370.81</v>
      </c>
      <c r="O278" s="1" t="s">
        <v>99</v>
      </c>
    </row>
    <row r="279" spans="1:15" ht="15">
      <c r="A279" s="6" t="s">
        <v>90</v>
      </c>
      <c r="B279">
        <v>255</v>
      </c>
      <c r="C279" s="2">
        <v>43161</v>
      </c>
      <c r="D279" t="str">
        <f>"21"</f>
        <v>21</v>
      </c>
      <c r="E279" s="2">
        <v>43060</v>
      </c>
      <c r="F279">
        <v>0</v>
      </c>
      <c r="G279" s="2">
        <v>43161</v>
      </c>
      <c r="H279" s="2">
        <v>43092</v>
      </c>
      <c r="I279" t="s">
        <v>16</v>
      </c>
      <c r="J279" s="3">
        <v>2292.96</v>
      </c>
      <c r="K279">
        <v>208.45</v>
      </c>
      <c r="L279" s="3">
        <v>2084.51</v>
      </c>
      <c r="M279">
        <v>69</v>
      </c>
      <c r="N279" s="3">
        <v>143831.19</v>
      </c>
      <c r="O279" s="1" t="s">
        <v>71</v>
      </c>
    </row>
    <row r="280" spans="1:15" ht="15">
      <c r="A280" s="6" t="s">
        <v>97</v>
      </c>
      <c r="B280">
        <v>163</v>
      </c>
      <c r="C280" s="2">
        <v>43150</v>
      </c>
      <c r="D280" t="s">
        <v>108</v>
      </c>
      <c r="E280" s="2">
        <v>43055</v>
      </c>
      <c r="F280">
        <v>0</v>
      </c>
      <c r="G280" s="2">
        <v>43152</v>
      </c>
      <c r="H280" s="2">
        <v>43086</v>
      </c>
      <c r="I280" t="s">
        <v>16</v>
      </c>
      <c r="J280" s="3">
        <v>4338.26</v>
      </c>
      <c r="K280">
        <v>394.38</v>
      </c>
      <c r="L280" s="3">
        <v>3943.88</v>
      </c>
      <c r="M280">
        <v>66</v>
      </c>
      <c r="N280" s="3">
        <v>260296.08</v>
      </c>
      <c r="O280" s="1" t="s">
        <v>99</v>
      </c>
    </row>
    <row r="281" spans="1:15" ht="15">
      <c r="A281" s="6" t="s">
        <v>109</v>
      </c>
      <c r="B281">
        <v>261</v>
      </c>
      <c r="C281" s="2">
        <v>43165</v>
      </c>
      <c r="D281" t="s">
        <v>110</v>
      </c>
      <c r="E281" s="2">
        <v>43007</v>
      </c>
      <c r="F281">
        <v>0</v>
      </c>
      <c r="G281" s="2">
        <v>43166</v>
      </c>
      <c r="H281" s="2">
        <v>43100</v>
      </c>
      <c r="I281" t="s">
        <v>16</v>
      </c>
      <c r="J281">
        <v>732</v>
      </c>
      <c r="K281">
        <v>132</v>
      </c>
      <c r="L281">
        <v>600</v>
      </c>
      <c r="M281">
        <v>66</v>
      </c>
      <c r="N281" s="3">
        <v>39600</v>
      </c>
      <c r="O281" s="1" t="s">
        <v>111</v>
      </c>
    </row>
    <row r="282" spans="1:15" ht="15">
      <c r="A282" s="6" t="s">
        <v>112</v>
      </c>
      <c r="B282">
        <v>300</v>
      </c>
      <c r="C282" s="2">
        <v>43174</v>
      </c>
      <c r="D282" t="str">
        <f>"171902450405"</f>
        <v>171902450405</v>
      </c>
      <c r="E282" s="2">
        <v>43090</v>
      </c>
      <c r="F282">
        <v>0</v>
      </c>
      <c r="G282" s="2">
        <v>43186</v>
      </c>
      <c r="H282" s="2">
        <v>43122</v>
      </c>
      <c r="I282" t="s">
        <v>16</v>
      </c>
      <c r="J282">
        <v>22.29</v>
      </c>
      <c r="K282">
        <v>4.02</v>
      </c>
      <c r="L282">
        <v>18.27</v>
      </c>
      <c r="M282">
        <v>64</v>
      </c>
      <c r="N282" s="3">
        <v>1169.28</v>
      </c>
      <c r="O282" s="1" t="s">
        <v>113</v>
      </c>
    </row>
    <row r="283" spans="1:15" ht="15">
      <c r="A283" s="6" t="s">
        <v>112</v>
      </c>
      <c r="B283">
        <v>302</v>
      </c>
      <c r="C283" s="2">
        <v>43174</v>
      </c>
      <c r="D283" t="str">
        <f>"171902450403"</f>
        <v>171902450403</v>
      </c>
      <c r="E283" s="2">
        <v>43090</v>
      </c>
      <c r="F283">
        <v>0</v>
      </c>
      <c r="G283" s="2">
        <v>43186</v>
      </c>
      <c r="H283" s="2">
        <v>43122</v>
      </c>
      <c r="I283" t="s">
        <v>16</v>
      </c>
      <c r="J283">
        <v>21.51</v>
      </c>
      <c r="K283">
        <v>3.88</v>
      </c>
      <c r="L283">
        <v>17.63</v>
      </c>
      <c r="M283">
        <v>64</v>
      </c>
      <c r="N283" s="3">
        <v>1128.32</v>
      </c>
      <c r="O283" s="1" t="s">
        <v>113</v>
      </c>
    </row>
    <row r="284" spans="1:15" ht="15">
      <c r="A284" s="6" t="s">
        <v>112</v>
      </c>
      <c r="B284">
        <v>296</v>
      </c>
      <c r="C284" s="2">
        <v>43174</v>
      </c>
      <c r="D284" t="str">
        <f>"171902450410"</f>
        <v>171902450410</v>
      </c>
      <c r="E284" s="2">
        <v>43090</v>
      </c>
      <c r="F284">
        <v>0</v>
      </c>
      <c r="G284" s="2">
        <v>43186</v>
      </c>
      <c r="H284" s="2">
        <v>43122</v>
      </c>
      <c r="I284" t="s">
        <v>16</v>
      </c>
      <c r="J284">
        <v>1.93</v>
      </c>
      <c r="K284">
        <v>0.2</v>
      </c>
      <c r="L284">
        <v>1.73</v>
      </c>
      <c r="M284">
        <v>64</v>
      </c>
      <c r="N284">
        <v>110.72</v>
      </c>
      <c r="O284" s="1" t="s">
        <v>113</v>
      </c>
    </row>
    <row r="285" spans="1:15" ht="15">
      <c r="A285" s="6" t="s">
        <v>112</v>
      </c>
      <c r="B285">
        <v>298</v>
      </c>
      <c r="C285" s="2">
        <v>43174</v>
      </c>
      <c r="D285" t="str">
        <f>"171902450407"</f>
        <v>171902450407</v>
      </c>
      <c r="E285" s="2">
        <v>43090</v>
      </c>
      <c r="F285">
        <v>0</v>
      </c>
      <c r="G285" s="2">
        <v>43186</v>
      </c>
      <c r="H285" s="2">
        <v>43122</v>
      </c>
      <c r="I285" t="s">
        <v>16</v>
      </c>
      <c r="J285">
        <v>72.99</v>
      </c>
      <c r="K285">
        <v>13.16</v>
      </c>
      <c r="L285">
        <v>59.83</v>
      </c>
      <c r="M285">
        <v>64</v>
      </c>
      <c r="N285" s="3">
        <v>3829.12</v>
      </c>
      <c r="O285" s="1" t="s">
        <v>113</v>
      </c>
    </row>
    <row r="286" spans="1:15" ht="15">
      <c r="A286" s="6" t="s">
        <v>112</v>
      </c>
      <c r="B286">
        <v>299</v>
      </c>
      <c r="C286" s="2">
        <v>43174</v>
      </c>
      <c r="D286" t="str">
        <f>"171902450404"</f>
        <v>171902450404</v>
      </c>
      <c r="E286" s="2">
        <v>43090</v>
      </c>
      <c r="F286">
        <v>0</v>
      </c>
      <c r="G286" s="2">
        <v>43186</v>
      </c>
      <c r="H286" s="2">
        <v>43122</v>
      </c>
      <c r="I286" t="s">
        <v>16</v>
      </c>
      <c r="J286">
        <v>284.48</v>
      </c>
      <c r="K286">
        <v>51.3</v>
      </c>
      <c r="L286">
        <v>233.18</v>
      </c>
      <c r="M286">
        <v>64</v>
      </c>
      <c r="N286" s="3">
        <v>14923.52</v>
      </c>
      <c r="O286" s="1" t="s">
        <v>113</v>
      </c>
    </row>
    <row r="287" spans="1:15" ht="15">
      <c r="A287" s="6" t="s">
        <v>112</v>
      </c>
      <c r="B287">
        <v>301</v>
      </c>
      <c r="C287" s="2">
        <v>43174</v>
      </c>
      <c r="D287" t="str">
        <f>"171902450411"</f>
        <v>171902450411</v>
      </c>
      <c r="E287" s="2">
        <v>43090</v>
      </c>
      <c r="F287">
        <v>0</v>
      </c>
      <c r="G287" s="2">
        <v>43186</v>
      </c>
      <c r="H287" s="2">
        <v>43122</v>
      </c>
      <c r="I287" t="s">
        <v>16</v>
      </c>
      <c r="J287">
        <v>196.92</v>
      </c>
      <c r="K287">
        <v>35.51</v>
      </c>
      <c r="L287">
        <v>161.41</v>
      </c>
      <c r="M287">
        <v>64</v>
      </c>
      <c r="N287" s="3">
        <v>10330.24</v>
      </c>
      <c r="O287" s="1" t="s">
        <v>113</v>
      </c>
    </row>
    <row r="288" spans="1:15" ht="15">
      <c r="A288" s="6" t="s">
        <v>112</v>
      </c>
      <c r="B288">
        <v>297</v>
      </c>
      <c r="C288" s="2">
        <v>43174</v>
      </c>
      <c r="D288" t="str">
        <f>"171902450406"</f>
        <v>171902450406</v>
      </c>
      <c r="E288" s="2">
        <v>43090</v>
      </c>
      <c r="F288">
        <v>0</v>
      </c>
      <c r="G288" s="2">
        <v>43186</v>
      </c>
      <c r="H288" s="2">
        <v>43122</v>
      </c>
      <c r="I288" t="s">
        <v>16</v>
      </c>
      <c r="J288">
        <v>50.68</v>
      </c>
      <c r="K288">
        <v>9.14</v>
      </c>
      <c r="L288">
        <v>41.54</v>
      </c>
      <c r="M288">
        <v>64</v>
      </c>
      <c r="N288" s="3">
        <v>2658.56</v>
      </c>
      <c r="O288" s="1" t="s">
        <v>113</v>
      </c>
    </row>
    <row r="289" spans="1:15" ht="15">
      <c r="A289" s="6" t="s">
        <v>112</v>
      </c>
      <c r="B289">
        <v>295</v>
      </c>
      <c r="C289" s="2">
        <v>43174</v>
      </c>
      <c r="D289" t="str">
        <f>"171902450409"</f>
        <v>171902450409</v>
      </c>
      <c r="E289" s="2">
        <v>43090</v>
      </c>
      <c r="F289">
        <v>0</v>
      </c>
      <c r="G289" s="2">
        <v>43186</v>
      </c>
      <c r="H289" s="2">
        <v>43122</v>
      </c>
      <c r="I289" t="s">
        <v>16</v>
      </c>
      <c r="J289">
        <v>66.28</v>
      </c>
      <c r="K289">
        <v>11.95</v>
      </c>
      <c r="L289">
        <v>54.33</v>
      </c>
      <c r="M289">
        <v>64</v>
      </c>
      <c r="N289" s="3">
        <v>3477.12</v>
      </c>
      <c r="O289" s="1" t="s">
        <v>113</v>
      </c>
    </row>
    <row r="290" spans="1:15" ht="15">
      <c r="A290" s="6" t="s">
        <v>76</v>
      </c>
      <c r="B290">
        <v>109</v>
      </c>
      <c r="C290" s="2">
        <v>43139</v>
      </c>
      <c r="D290" t="s">
        <v>114</v>
      </c>
      <c r="E290" s="2">
        <v>43046</v>
      </c>
      <c r="F290">
        <v>0</v>
      </c>
      <c r="G290" s="2">
        <v>43139</v>
      </c>
      <c r="H290" s="2">
        <v>43077</v>
      </c>
      <c r="I290" t="s">
        <v>18</v>
      </c>
      <c r="J290" s="3">
        <v>1041.72</v>
      </c>
      <c r="K290">
        <v>187.85</v>
      </c>
      <c r="L290">
        <v>853.87</v>
      </c>
      <c r="M290">
        <v>62</v>
      </c>
      <c r="N290" s="3">
        <v>52939.94</v>
      </c>
      <c r="O290" s="1" t="s">
        <v>115</v>
      </c>
    </row>
    <row r="291" spans="1:15" ht="28.8">
      <c r="A291" s="6" t="s">
        <v>116</v>
      </c>
      <c r="B291">
        <v>94</v>
      </c>
      <c r="C291" s="2">
        <v>43138</v>
      </c>
      <c r="D291" t="s">
        <v>117</v>
      </c>
      <c r="E291" s="2">
        <v>43046</v>
      </c>
      <c r="F291">
        <v>0</v>
      </c>
      <c r="G291" s="2">
        <v>43138</v>
      </c>
      <c r="H291" s="2">
        <v>43076</v>
      </c>
      <c r="I291" t="s">
        <v>18</v>
      </c>
      <c r="J291" s="3">
        <v>26043.81</v>
      </c>
      <c r="K291" s="3">
        <v>2367.62</v>
      </c>
      <c r="L291" s="3">
        <v>23676.19</v>
      </c>
      <c r="M291">
        <v>62</v>
      </c>
      <c r="N291" s="3">
        <v>1467923.78</v>
      </c>
      <c r="O291" s="1" t="s">
        <v>118</v>
      </c>
    </row>
    <row r="292" spans="1:15" ht="28.8">
      <c r="A292" s="6" t="s">
        <v>116</v>
      </c>
      <c r="B292">
        <v>95</v>
      </c>
      <c r="C292" s="2">
        <v>43138</v>
      </c>
      <c r="D292" t="s">
        <v>117</v>
      </c>
      <c r="E292" s="2">
        <v>43046</v>
      </c>
      <c r="F292">
        <v>0</v>
      </c>
      <c r="G292" s="2">
        <v>43138</v>
      </c>
      <c r="H292" s="2">
        <v>43076</v>
      </c>
      <c r="I292" t="s">
        <v>18</v>
      </c>
      <c r="J292" s="3">
        <v>1372.03</v>
      </c>
      <c r="K292">
        <v>124.73</v>
      </c>
      <c r="L292" s="3">
        <v>1247.3</v>
      </c>
      <c r="M292">
        <v>62</v>
      </c>
      <c r="N292" s="3">
        <v>77332.6</v>
      </c>
      <c r="O292" s="1" t="s">
        <v>118</v>
      </c>
    </row>
    <row r="293" spans="1:15" ht="28.8">
      <c r="A293" s="6" t="s">
        <v>94</v>
      </c>
      <c r="B293">
        <v>254</v>
      </c>
      <c r="C293" s="2">
        <v>43161</v>
      </c>
      <c r="D293" t="s">
        <v>119</v>
      </c>
      <c r="E293" s="2">
        <v>43062</v>
      </c>
      <c r="F293">
        <v>0</v>
      </c>
      <c r="G293" s="2">
        <v>43161</v>
      </c>
      <c r="H293" s="2">
        <v>43100</v>
      </c>
      <c r="I293" t="s">
        <v>16</v>
      </c>
      <c r="J293" s="3">
        <v>3777.01</v>
      </c>
      <c r="K293">
        <v>343.36</v>
      </c>
      <c r="L293" s="3">
        <v>3433.65</v>
      </c>
      <c r="M293">
        <v>61</v>
      </c>
      <c r="N293" s="3">
        <v>209452.65</v>
      </c>
      <c r="O293" s="1" t="s">
        <v>96</v>
      </c>
    </row>
    <row r="294" spans="1:15" ht="28.8">
      <c r="A294" s="6" t="s">
        <v>94</v>
      </c>
      <c r="B294">
        <v>253</v>
      </c>
      <c r="C294" s="2">
        <v>43161</v>
      </c>
      <c r="D294" t="s">
        <v>119</v>
      </c>
      <c r="E294" s="2">
        <v>43062</v>
      </c>
      <c r="F294">
        <v>0</v>
      </c>
      <c r="G294" s="2">
        <v>43161</v>
      </c>
      <c r="H294" s="2">
        <v>43100</v>
      </c>
      <c r="I294" t="s">
        <v>16</v>
      </c>
      <c r="J294" s="3">
        <v>29269.19</v>
      </c>
      <c r="K294" s="3">
        <v>2660.84</v>
      </c>
      <c r="L294" s="3">
        <v>26608.35</v>
      </c>
      <c r="M294">
        <v>61</v>
      </c>
      <c r="N294" s="3">
        <v>1623109.35</v>
      </c>
      <c r="O294" s="1" t="s">
        <v>96</v>
      </c>
    </row>
    <row r="295" spans="1:15" ht="28.8">
      <c r="A295" s="6" t="s">
        <v>120</v>
      </c>
      <c r="B295">
        <v>305</v>
      </c>
      <c r="C295" s="2">
        <v>43182</v>
      </c>
      <c r="D295" t="str">
        <f>"307"</f>
        <v>307</v>
      </c>
      <c r="E295" s="2">
        <v>43069</v>
      </c>
      <c r="F295">
        <v>0</v>
      </c>
      <c r="G295" s="2">
        <v>43186</v>
      </c>
      <c r="H295" s="2">
        <v>43126</v>
      </c>
      <c r="I295" t="s">
        <v>16</v>
      </c>
      <c r="J295" s="3">
        <v>5155.93</v>
      </c>
      <c r="K295">
        <v>929.76</v>
      </c>
      <c r="L295" s="3">
        <v>4226.17</v>
      </c>
      <c r="M295">
        <v>60</v>
      </c>
      <c r="N295" s="3">
        <v>253570.2</v>
      </c>
      <c r="O295" s="1" t="s">
        <v>118</v>
      </c>
    </row>
    <row r="296" spans="1:15" ht="43.2">
      <c r="A296" s="6" t="s">
        <v>121</v>
      </c>
      <c r="B296">
        <v>190</v>
      </c>
      <c r="C296" s="2">
        <v>43151</v>
      </c>
      <c r="D296" t="s">
        <v>122</v>
      </c>
      <c r="E296" s="2">
        <v>43032</v>
      </c>
      <c r="F296">
        <v>0</v>
      </c>
      <c r="G296" s="2">
        <v>43152</v>
      </c>
      <c r="H296" s="2">
        <v>43092</v>
      </c>
      <c r="I296" t="s">
        <v>16</v>
      </c>
      <c r="J296" s="3">
        <v>3377</v>
      </c>
      <c r="K296">
        <v>0</v>
      </c>
      <c r="L296" s="3">
        <v>3377</v>
      </c>
      <c r="M296">
        <v>60</v>
      </c>
      <c r="N296" s="3">
        <v>202620</v>
      </c>
      <c r="O296" s="1" t="s">
        <v>123</v>
      </c>
    </row>
    <row r="297" spans="1:15" ht="28.8">
      <c r="A297" s="6" t="s">
        <v>80</v>
      </c>
      <c r="B297">
        <v>166</v>
      </c>
      <c r="C297" s="2">
        <v>43151</v>
      </c>
      <c r="D297" t="s">
        <v>124</v>
      </c>
      <c r="E297" s="2">
        <v>43062</v>
      </c>
      <c r="F297">
        <v>0</v>
      </c>
      <c r="G297" s="2">
        <v>43152</v>
      </c>
      <c r="H297" s="2">
        <v>43093</v>
      </c>
      <c r="I297" t="s">
        <v>16</v>
      </c>
      <c r="J297">
        <v>140.91</v>
      </c>
      <c r="K297">
        <v>25.41</v>
      </c>
      <c r="L297">
        <v>115.5</v>
      </c>
      <c r="M297">
        <v>59</v>
      </c>
      <c r="N297" s="3">
        <v>6814.5</v>
      </c>
      <c r="O297" s="1" t="s">
        <v>74</v>
      </c>
    </row>
    <row r="298" spans="1:15" ht="15">
      <c r="A298" s="6" t="s">
        <v>125</v>
      </c>
      <c r="B298">
        <v>353</v>
      </c>
      <c r="C298" s="2">
        <v>43185</v>
      </c>
      <c r="D298" t="str">
        <f>"1730064216"</f>
        <v>1730064216</v>
      </c>
      <c r="E298" s="2">
        <v>43100</v>
      </c>
      <c r="F298">
        <v>0</v>
      </c>
      <c r="G298" s="2">
        <v>43186</v>
      </c>
      <c r="H298" s="2">
        <v>43130</v>
      </c>
      <c r="I298" t="s">
        <v>16</v>
      </c>
      <c r="J298">
        <v>8.98</v>
      </c>
      <c r="K298">
        <v>1.62</v>
      </c>
      <c r="L298">
        <v>7.36</v>
      </c>
      <c r="M298">
        <v>56</v>
      </c>
      <c r="N298">
        <v>412.16</v>
      </c>
      <c r="O298" s="1" t="s">
        <v>126</v>
      </c>
    </row>
    <row r="299" spans="1:15" ht="15">
      <c r="A299" s="6" t="s">
        <v>61</v>
      </c>
      <c r="B299">
        <v>402</v>
      </c>
      <c r="C299" s="2">
        <v>43186</v>
      </c>
      <c r="D299" t="s">
        <v>127</v>
      </c>
      <c r="E299" s="2">
        <v>43039</v>
      </c>
      <c r="F299">
        <v>0</v>
      </c>
      <c r="G299" s="2">
        <v>43186</v>
      </c>
      <c r="H299" s="2">
        <v>43131</v>
      </c>
      <c r="I299" t="s">
        <v>16</v>
      </c>
      <c r="J299">
        <v>320</v>
      </c>
      <c r="K299">
        <v>15.24</v>
      </c>
      <c r="L299">
        <v>304.76</v>
      </c>
      <c r="M299">
        <v>55</v>
      </c>
      <c r="N299" s="3">
        <v>16761.8</v>
      </c>
      <c r="O299" s="1" t="s">
        <v>63</v>
      </c>
    </row>
    <row r="300" spans="1:15" ht="28.8">
      <c r="A300" s="6" t="s">
        <v>128</v>
      </c>
      <c r="B300">
        <v>180</v>
      </c>
      <c r="C300" s="2">
        <v>43151</v>
      </c>
      <c r="D300" t="s">
        <v>129</v>
      </c>
      <c r="E300" s="2">
        <v>43098</v>
      </c>
      <c r="F300">
        <v>0</v>
      </c>
      <c r="G300" s="2">
        <v>43152</v>
      </c>
      <c r="H300" s="2">
        <v>43098</v>
      </c>
      <c r="I300" t="s">
        <v>16</v>
      </c>
      <c r="J300">
        <v>149.71</v>
      </c>
      <c r="K300">
        <v>27</v>
      </c>
      <c r="L300">
        <v>122.71</v>
      </c>
      <c r="M300">
        <v>54</v>
      </c>
      <c r="N300" s="3">
        <v>6626.34</v>
      </c>
      <c r="O300" s="1" t="s">
        <v>130</v>
      </c>
    </row>
    <row r="301" spans="1:15" ht="28.8">
      <c r="A301" s="6" t="s">
        <v>128</v>
      </c>
      <c r="B301">
        <v>179</v>
      </c>
      <c r="C301" s="2">
        <v>43151</v>
      </c>
      <c r="D301" t="s">
        <v>129</v>
      </c>
      <c r="E301" s="2">
        <v>43098</v>
      </c>
      <c r="F301">
        <v>0</v>
      </c>
      <c r="G301" s="2">
        <v>43152</v>
      </c>
      <c r="H301" s="2">
        <v>43098</v>
      </c>
      <c r="I301" t="s">
        <v>16</v>
      </c>
      <c r="J301" s="3">
        <v>3146</v>
      </c>
      <c r="K301">
        <v>567.31</v>
      </c>
      <c r="L301" s="3">
        <v>2578.69</v>
      </c>
      <c r="M301">
        <v>54</v>
      </c>
      <c r="N301" s="3">
        <v>139249.26</v>
      </c>
      <c r="O301" s="1" t="s">
        <v>130</v>
      </c>
    </row>
    <row r="302" spans="1:15" ht="28.8">
      <c r="A302" s="6" t="s">
        <v>131</v>
      </c>
      <c r="B302">
        <v>170</v>
      </c>
      <c r="C302" s="2">
        <v>43151</v>
      </c>
      <c r="D302" t="s">
        <v>132</v>
      </c>
      <c r="E302" s="2">
        <v>43052</v>
      </c>
      <c r="F302">
        <v>0</v>
      </c>
      <c r="G302" s="2">
        <v>43152</v>
      </c>
      <c r="H302" s="2">
        <v>43099</v>
      </c>
      <c r="I302" t="s">
        <v>16</v>
      </c>
      <c r="J302">
        <v>567.6</v>
      </c>
      <c r="K302">
        <v>102.35</v>
      </c>
      <c r="L302">
        <v>465.25</v>
      </c>
      <c r="M302">
        <v>53</v>
      </c>
      <c r="N302" s="3">
        <v>24658.25</v>
      </c>
      <c r="O302" s="1" t="s">
        <v>96</v>
      </c>
    </row>
    <row r="303" spans="1:15" ht="28.8">
      <c r="A303" s="6" t="s">
        <v>131</v>
      </c>
      <c r="B303">
        <v>169</v>
      </c>
      <c r="C303" s="2">
        <v>43151</v>
      </c>
      <c r="D303" t="s">
        <v>132</v>
      </c>
      <c r="E303" s="2">
        <v>43052</v>
      </c>
      <c r="F303">
        <v>0</v>
      </c>
      <c r="G303" s="2">
        <v>43152</v>
      </c>
      <c r="H303" s="2">
        <v>43099</v>
      </c>
      <c r="I303" t="s">
        <v>16</v>
      </c>
      <c r="J303">
        <v>140</v>
      </c>
      <c r="K303">
        <v>25.25</v>
      </c>
      <c r="L303">
        <v>114.75</v>
      </c>
      <c r="M303">
        <v>53</v>
      </c>
      <c r="N303" s="3">
        <v>6081.75</v>
      </c>
      <c r="O303" s="1" t="s">
        <v>96</v>
      </c>
    </row>
    <row r="304" spans="1:15" ht="15">
      <c r="A304" s="6" t="s">
        <v>133</v>
      </c>
      <c r="B304">
        <v>167</v>
      </c>
      <c r="C304" s="2">
        <v>43151</v>
      </c>
      <c r="D304" t="str">
        <f>"430"</f>
        <v>430</v>
      </c>
      <c r="E304" s="2">
        <v>43026</v>
      </c>
      <c r="F304">
        <v>0</v>
      </c>
      <c r="G304" s="2">
        <v>43152</v>
      </c>
      <c r="H304" s="2">
        <v>43100</v>
      </c>
      <c r="I304" t="s">
        <v>16</v>
      </c>
      <c r="J304">
        <v>602.68</v>
      </c>
      <c r="K304">
        <v>108.68</v>
      </c>
      <c r="L304">
        <v>494</v>
      </c>
      <c r="M304">
        <v>52</v>
      </c>
      <c r="N304" s="3">
        <v>25688</v>
      </c>
      <c r="O304" s="1" t="s">
        <v>134</v>
      </c>
    </row>
    <row r="305" spans="1:15" ht="15">
      <c r="A305" s="6" t="s">
        <v>31</v>
      </c>
      <c r="B305">
        <v>249</v>
      </c>
      <c r="C305" s="2">
        <v>43161</v>
      </c>
      <c r="D305" t="s">
        <v>135</v>
      </c>
      <c r="E305" s="2">
        <v>43083</v>
      </c>
      <c r="F305">
        <v>0</v>
      </c>
      <c r="G305" s="2">
        <v>43161</v>
      </c>
      <c r="H305" s="2">
        <v>43113</v>
      </c>
      <c r="I305" t="s">
        <v>16</v>
      </c>
      <c r="J305" s="3">
        <v>3000</v>
      </c>
      <c r="K305">
        <v>540.98</v>
      </c>
      <c r="L305" s="3">
        <v>2459.02</v>
      </c>
      <c r="M305">
        <v>48</v>
      </c>
      <c r="N305" s="3">
        <v>118032.96</v>
      </c>
      <c r="O305" s="1" t="s">
        <v>32</v>
      </c>
    </row>
    <row r="306" spans="1:15" ht="28.8">
      <c r="A306" s="6" t="s">
        <v>41</v>
      </c>
      <c r="B306">
        <v>409</v>
      </c>
      <c r="C306" s="2">
        <v>43186</v>
      </c>
      <c r="D306" s="4">
        <v>1612017</v>
      </c>
      <c r="E306" s="2">
        <v>43100</v>
      </c>
      <c r="F306">
        <v>0</v>
      </c>
      <c r="G306" s="2">
        <v>43186</v>
      </c>
      <c r="H306" s="2">
        <v>43139</v>
      </c>
      <c r="I306" t="s">
        <v>16</v>
      </c>
      <c r="J306" s="3">
        <v>1200</v>
      </c>
      <c r="K306">
        <v>0</v>
      </c>
      <c r="L306" s="3">
        <v>1200</v>
      </c>
      <c r="M306">
        <v>47</v>
      </c>
      <c r="N306" s="3">
        <v>56400</v>
      </c>
      <c r="O306" s="1" t="s">
        <v>75</v>
      </c>
    </row>
    <row r="307" spans="1:15" ht="15">
      <c r="A307" s="6" t="s">
        <v>90</v>
      </c>
      <c r="B307">
        <v>58</v>
      </c>
      <c r="C307" s="2">
        <v>43126</v>
      </c>
      <c r="D307" t="str">
        <f>"20"</f>
        <v>20</v>
      </c>
      <c r="E307" s="2">
        <v>43049</v>
      </c>
      <c r="F307">
        <v>0</v>
      </c>
      <c r="G307" s="2">
        <v>43126</v>
      </c>
      <c r="H307" s="2">
        <v>43079</v>
      </c>
      <c r="I307" t="s">
        <v>16</v>
      </c>
      <c r="J307" s="3">
        <v>42924</v>
      </c>
      <c r="K307" s="3">
        <v>3902.18</v>
      </c>
      <c r="L307" s="3">
        <v>39021.82</v>
      </c>
      <c r="M307">
        <v>47</v>
      </c>
      <c r="N307" s="3">
        <v>1834025.54</v>
      </c>
      <c r="O307" s="1" t="s">
        <v>71</v>
      </c>
    </row>
    <row r="308" spans="1:15" ht="15">
      <c r="A308" s="6" t="s">
        <v>90</v>
      </c>
      <c r="B308">
        <v>57</v>
      </c>
      <c r="C308" s="2">
        <v>43126</v>
      </c>
      <c r="D308" t="str">
        <f>"20"</f>
        <v>20</v>
      </c>
      <c r="E308" s="2">
        <v>43049</v>
      </c>
      <c r="F308">
        <v>0</v>
      </c>
      <c r="G308" s="2">
        <v>43126</v>
      </c>
      <c r="H308" s="2">
        <v>43079</v>
      </c>
      <c r="I308" t="s">
        <v>16</v>
      </c>
      <c r="J308" s="3">
        <v>2940</v>
      </c>
      <c r="K308">
        <v>267.28</v>
      </c>
      <c r="L308" s="3">
        <v>2672.72</v>
      </c>
      <c r="M308">
        <v>47</v>
      </c>
      <c r="N308" s="3">
        <v>125617.84</v>
      </c>
      <c r="O308" s="1" t="s">
        <v>71</v>
      </c>
    </row>
    <row r="309" spans="1:15" ht="15">
      <c r="A309" s="6" t="s">
        <v>136</v>
      </c>
      <c r="B309">
        <v>382</v>
      </c>
      <c r="C309" s="2">
        <v>43186</v>
      </c>
      <c r="D309" t="s">
        <v>137</v>
      </c>
      <c r="E309" s="2">
        <v>43100</v>
      </c>
      <c r="F309">
        <v>0</v>
      </c>
      <c r="G309" s="2">
        <v>43186</v>
      </c>
      <c r="H309" s="2">
        <v>43141</v>
      </c>
      <c r="I309" t="s">
        <v>16</v>
      </c>
      <c r="J309" s="3">
        <v>1004.67</v>
      </c>
      <c r="K309">
        <v>181.17</v>
      </c>
      <c r="L309">
        <v>823.5</v>
      </c>
      <c r="M309">
        <v>45</v>
      </c>
      <c r="N309" s="3">
        <v>37057.5</v>
      </c>
      <c r="O309" s="1" t="s">
        <v>113</v>
      </c>
    </row>
    <row r="310" spans="1:15" ht="28.8">
      <c r="A310" s="6" t="s">
        <v>94</v>
      </c>
      <c r="B310">
        <v>60</v>
      </c>
      <c r="C310" s="2">
        <v>43126</v>
      </c>
      <c r="D310" t="s">
        <v>95</v>
      </c>
      <c r="E310" s="2">
        <v>43052</v>
      </c>
      <c r="F310">
        <v>0</v>
      </c>
      <c r="G310" s="2">
        <v>43126</v>
      </c>
      <c r="H310" s="2">
        <v>43082</v>
      </c>
      <c r="I310" t="s">
        <v>16</v>
      </c>
      <c r="J310" s="3">
        <v>15288</v>
      </c>
      <c r="K310" s="3">
        <v>1389.82</v>
      </c>
      <c r="L310" s="3">
        <v>13898.18</v>
      </c>
      <c r="M310">
        <v>44</v>
      </c>
      <c r="N310" s="3">
        <v>611519.92</v>
      </c>
      <c r="O310" s="1" t="s">
        <v>96</v>
      </c>
    </row>
    <row r="311" spans="1:15" ht="15">
      <c r="A311" s="6" t="s">
        <v>97</v>
      </c>
      <c r="B311">
        <v>59</v>
      </c>
      <c r="C311" s="2">
        <v>43126</v>
      </c>
      <c r="D311" t="s">
        <v>98</v>
      </c>
      <c r="E311" s="2">
        <v>43052</v>
      </c>
      <c r="F311">
        <v>0</v>
      </c>
      <c r="G311" s="2">
        <v>43126</v>
      </c>
      <c r="H311" s="2">
        <v>43082</v>
      </c>
      <c r="I311" t="s">
        <v>16</v>
      </c>
      <c r="J311" s="3">
        <v>48048</v>
      </c>
      <c r="K311" s="3">
        <v>4368</v>
      </c>
      <c r="L311" s="3">
        <v>43680</v>
      </c>
      <c r="M311">
        <v>44</v>
      </c>
      <c r="N311" s="3">
        <v>1921920</v>
      </c>
      <c r="O311" s="1" t="s">
        <v>99</v>
      </c>
    </row>
    <row r="312" spans="1:15" ht="15">
      <c r="A312" s="6" t="s">
        <v>109</v>
      </c>
      <c r="B312">
        <v>262</v>
      </c>
      <c r="C312" s="2">
        <v>43165</v>
      </c>
      <c r="D312" t="s">
        <v>138</v>
      </c>
      <c r="E312" s="2">
        <v>41364</v>
      </c>
      <c r="F312">
        <v>0</v>
      </c>
      <c r="G312" s="2">
        <v>43166</v>
      </c>
      <c r="H312" s="2">
        <v>43122</v>
      </c>
      <c r="I312" t="s">
        <v>16</v>
      </c>
      <c r="J312" s="3">
        <v>4073.17</v>
      </c>
      <c r="K312">
        <v>0</v>
      </c>
      <c r="L312" s="3">
        <v>4073.17</v>
      </c>
      <c r="M312">
        <v>44</v>
      </c>
      <c r="N312" s="3">
        <v>179219.48</v>
      </c>
      <c r="O312" s="1" t="s">
        <v>32</v>
      </c>
    </row>
    <row r="313" spans="1:15" ht="15">
      <c r="A313" s="6" t="s">
        <v>109</v>
      </c>
      <c r="B313">
        <v>262</v>
      </c>
      <c r="C313" s="2">
        <v>43165</v>
      </c>
      <c r="D313" t="s">
        <v>139</v>
      </c>
      <c r="E313" s="2">
        <v>41455</v>
      </c>
      <c r="F313">
        <v>0</v>
      </c>
      <c r="G313" s="2">
        <v>43166</v>
      </c>
      <c r="H313" s="2">
        <v>43122</v>
      </c>
      <c r="I313" t="s">
        <v>16</v>
      </c>
      <c r="J313" s="3">
        <v>8866.11</v>
      </c>
      <c r="K313">
        <v>0</v>
      </c>
      <c r="L313" s="3">
        <v>8866.11</v>
      </c>
      <c r="M313">
        <v>44</v>
      </c>
      <c r="N313" s="3">
        <v>390108.84</v>
      </c>
      <c r="O313" s="1" t="s">
        <v>32</v>
      </c>
    </row>
    <row r="314" spans="1:15" ht="15">
      <c r="A314" s="6" t="s">
        <v>140</v>
      </c>
      <c r="B314">
        <v>210</v>
      </c>
      <c r="C314" s="2">
        <v>43152</v>
      </c>
      <c r="D314" t="str">
        <f>"004801713356"</f>
        <v>004801713356</v>
      </c>
      <c r="E314" s="2">
        <v>43074</v>
      </c>
      <c r="F314">
        <v>0</v>
      </c>
      <c r="G314" s="2">
        <v>43152</v>
      </c>
      <c r="H314" s="2">
        <v>43109</v>
      </c>
      <c r="I314" t="s">
        <v>16</v>
      </c>
      <c r="J314">
        <v>650.55</v>
      </c>
      <c r="K314">
        <v>117.31</v>
      </c>
      <c r="L314">
        <v>533.24</v>
      </c>
      <c r="M314">
        <v>43</v>
      </c>
      <c r="N314" s="3">
        <v>22929.32</v>
      </c>
      <c r="O314" s="1" t="s">
        <v>71</v>
      </c>
    </row>
    <row r="315" spans="1:15" ht="15">
      <c r="A315" s="6" t="s">
        <v>140</v>
      </c>
      <c r="B315">
        <v>209</v>
      </c>
      <c r="C315" s="2">
        <v>43152</v>
      </c>
      <c r="D315" t="str">
        <f>"004801763561"</f>
        <v>004801763561</v>
      </c>
      <c r="E315" s="2">
        <v>43074</v>
      </c>
      <c r="F315">
        <v>0</v>
      </c>
      <c r="G315" s="2">
        <v>43152</v>
      </c>
      <c r="H315" s="2">
        <v>43109</v>
      </c>
      <c r="I315" t="s">
        <v>16</v>
      </c>
      <c r="J315">
        <v>54.77</v>
      </c>
      <c r="K315">
        <v>9.88</v>
      </c>
      <c r="L315">
        <v>44.89</v>
      </c>
      <c r="M315">
        <v>43</v>
      </c>
      <c r="N315" s="3">
        <v>1930.27</v>
      </c>
      <c r="O315" s="1" t="s">
        <v>71</v>
      </c>
    </row>
    <row r="316" spans="1:15" ht="15">
      <c r="A316" s="6" t="s">
        <v>141</v>
      </c>
      <c r="B316">
        <v>114</v>
      </c>
      <c r="C316" s="2">
        <v>43139</v>
      </c>
      <c r="D316" t="s">
        <v>142</v>
      </c>
      <c r="E316" s="2">
        <v>43057</v>
      </c>
      <c r="F316">
        <v>0</v>
      </c>
      <c r="G316" s="2">
        <v>43139</v>
      </c>
      <c r="H316" s="2">
        <v>43096</v>
      </c>
      <c r="I316" t="s">
        <v>16</v>
      </c>
      <c r="J316" s="3">
        <v>3178.34</v>
      </c>
      <c r="K316">
        <v>573.14</v>
      </c>
      <c r="L316" s="3">
        <v>2605.2</v>
      </c>
      <c r="M316">
        <v>43</v>
      </c>
      <c r="N316" s="3">
        <v>112023.6</v>
      </c>
      <c r="O316" s="1" t="s">
        <v>143</v>
      </c>
    </row>
    <row r="317" spans="1:15" ht="43.2">
      <c r="A317" s="6" t="s">
        <v>144</v>
      </c>
      <c r="B317">
        <v>385</v>
      </c>
      <c r="C317" s="2">
        <v>43186</v>
      </c>
      <c r="D317" t="str">
        <f>"1"</f>
        <v>1</v>
      </c>
      <c r="E317" s="2">
        <v>43115</v>
      </c>
      <c r="F317">
        <v>0</v>
      </c>
      <c r="G317" s="2">
        <v>43186</v>
      </c>
      <c r="H317" s="2">
        <v>43145</v>
      </c>
      <c r="I317" t="s">
        <v>16</v>
      </c>
      <c r="J317" s="3">
        <v>1000</v>
      </c>
      <c r="K317">
        <v>180.33</v>
      </c>
      <c r="L317">
        <v>819.67</v>
      </c>
      <c r="M317">
        <v>41</v>
      </c>
      <c r="N317" s="3">
        <v>33606.47</v>
      </c>
      <c r="O317" s="1" t="s">
        <v>145</v>
      </c>
    </row>
    <row r="318" spans="1:15" ht="43.2">
      <c r="A318" s="6" t="s">
        <v>144</v>
      </c>
      <c r="B318">
        <v>384</v>
      </c>
      <c r="C318" s="2">
        <v>43186</v>
      </c>
      <c r="D318" t="str">
        <f>"1"</f>
        <v>1</v>
      </c>
      <c r="E318" s="2">
        <v>43115</v>
      </c>
      <c r="F318">
        <v>0</v>
      </c>
      <c r="G318" s="2">
        <v>43186</v>
      </c>
      <c r="H318" s="2">
        <v>43145</v>
      </c>
      <c r="I318" t="s">
        <v>16</v>
      </c>
      <c r="J318">
        <v>400</v>
      </c>
      <c r="K318">
        <v>72.13</v>
      </c>
      <c r="L318">
        <v>327.87</v>
      </c>
      <c r="M318">
        <v>41</v>
      </c>
      <c r="N318" s="3">
        <v>13442.67</v>
      </c>
      <c r="O318" s="1" t="s">
        <v>145</v>
      </c>
    </row>
    <row r="319" spans="1:15" ht="43.2">
      <c r="A319" s="6" t="s">
        <v>144</v>
      </c>
      <c r="B319">
        <v>386</v>
      </c>
      <c r="C319" s="2">
        <v>43186</v>
      </c>
      <c r="D319" t="str">
        <f>"1"</f>
        <v>1</v>
      </c>
      <c r="E319" s="2">
        <v>43115</v>
      </c>
      <c r="F319">
        <v>0</v>
      </c>
      <c r="G319" s="2">
        <v>43186</v>
      </c>
      <c r="H319" s="2">
        <v>43145</v>
      </c>
      <c r="I319" t="s">
        <v>16</v>
      </c>
      <c r="J319" s="3">
        <v>1165.53</v>
      </c>
      <c r="K319">
        <v>210.18</v>
      </c>
      <c r="L319">
        <v>955.35</v>
      </c>
      <c r="M319">
        <v>41</v>
      </c>
      <c r="N319" s="3">
        <v>39169.35</v>
      </c>
      <c r="O319" s="1" t="s">
        <v>145</v>
      </c>
    </row>
    <row r="320" spans="1:15" ht="43.2">
      <c r="A320" s="6" t="s">
        <v>144</v>
      </c>
      <c r="B320">
        <v>383</v>
      </c>
      <c r="C320" s="2">
        <v>43186</v>
      </c>
      <c r="D320" t="str">
        <f>"1"</f>
        <v>1</v>
      </c>
      <c r="E320" s="2">
        <v>43115</v>
      </c>
      <c r="F320">
        <v>0</v>
      </c>
      <c r="G320" s="2">
        <v>43186</v>
      </c>
      <c r="H320" s="2">
        <v>43145</v>
      </c>
      <c r="I320" t="s">
        <v>16</v>
      </c>
      <c r="J320">
        <v>205.24</v>
      </c>
      <c r="K320">
        <v>37.01</v>
      </c>
      <c r="L320">
        <v>168.23</v>
      </c>
      <c r="M320">
        <v>41</v>
      </c>
      <c r="N320" s="3">
        <v>6897.43</v>
      </c>
      <c r="O320" s="1" t="s">
        <v>145</v>
      </c>
    </row>
    <row r="321" spans="1:15" ht="28.8">
      <c r="A321" s="6" t="s">
        <v>146</v>
      </c>
      <c r="B321">
        <v>85</v>
      </c>
      <c r="C321" s="2">
        <v>43138</v>
      </c>
      <c r="D321" t="s">
        <v>147</v>
      </c>
      <c r="E321" s="2">
        <v>43067</v>
      </c>
      <c r="F321">
        <v>0</v>
      </c>
      <c r="G321" s="2">
        <v>43138</v>
      </c>
      <c r="H321" s="2">
        <v>43097</v>
      </c>
      <c r="I321" t="s">
        <v>18</v>
      </c>
      <c r="J321">
        <v>101.9</v>
      </c>
      <c r="K321">
        <v>0</v>
      </c>
      <c r="L321">
        <v>101.9</v>
      </c>
      <c r="M321">
        <v>41</v>
      </c>
      <c r="N321" s="3">
        <v>4177.9</v>
      </c>
      <c r="O321" s="1" t="s">
        <v>21</v>
      </c>
    </row>
    <row r="322" spans="1:15" ht="15">
      <c r="A322" s="6" t="s">
        <v>148</v>
      </c>
      <c r="B322">
        <v>361</v>
      </c>
      <c r="C322" s="2">
        <v>43186</v>
      </c>
      <c r="D322" t="s">
        <v>149</v>
      </c>
      <c r="E322" s="2">
        <v>43116</v>
      </c>
      <c r="F322">
        <v>0</v>
      </c>
      <c r="G322" s="2">
        <v>43186</v>
      </c>
      <c r="H322" s="2">
        <v>43146</v>
      </c>
      <c r="I322" t="s">
        <v>16</v>
      </c>
      <c r="J322">
        <v>235.52</v>
      </c>
      <c r="K322">
        <v>42.47</v>
      </c>
      <c r="L322">
        <v>193.05</v>
      </c>
      <c r="M322">
        <v>40</v>
      </c>
      <c r="N322" s="3">
        <v>7722</v>
      </c>
      <c r="O322" s="1" t="s">
        <v>24</v>
      </c>
    </row>
    <row r="323" spans="1:15" ht="15">
      <c r="A323" s="6" t="s">
        <v>148</v>
      </c>
      <c r="B323">
        <v>360</v>
      </c>
      <c r="C323" s="2">
        <v>43186</v>
      </c>
      <c r="D323" t="s">
        <v>149</v>
      </c>
      <c r="E323" s="2">
        <v>43116</v>
      </c>
      <c r="F323">
        <v>0</v>
      </c>
      <c r="G323" s="2">
        <v>43186</v>
      </c>
      <c r="H323" s="2">
        <v>43146</v>
      </c>
      <c r="I323" t="s">
        <v>16</v>
      </c>
      <c r="J323">
        <v>113.77</v>
      </c>
      <c r="K323">
        <v>20.52</v>
      </c>
      <c r="L323">
        <v>93.25</v>
      </c>
      <c r="M323">
        <v>40</v>
      </c>
      <c r="N323" s="3">
        <v>3730</v>
      </c>
      <c r="O323" s="1" t="s">
        <v>24</v>
      </c>
    </row>
    <row r="324" spans="1:15" ht="15">
      <c r="A324" s="6" t="s">
        <v>78</v>
      </c>
      <c r="B324">
        <v>100</v>
      </c>
      <c r="C324" s="2">
        <v>43138</v>
      </c>
      <c r="D324" t="s">
        <v>150</v>
      </c>
      <c r="E324" s="2">
        <v>43060</v>
      </c>
      <c r="F324">
        <v>0</v>
      </c>
      <c r="G324" s="2">
        <v>43138</v>
      </c>
      <c r="H324" s="2">
        <v>43100</v>
      </c>
      <c r="I324" t="s">
        <v>16</v>
      </c>
      <c r="J324">
        <v>170.8</v>
      </c>
      <c r="K324">
        <v>30.8</v>
      </c>
      <c r="L324">
        <v>140</v>
      </c>
      <c r="M324">
        <v>38</v>
      </c>
      <c r="N324" s="3">
        <v>5320</v>
      </c>
      <c r="O324" s="1" t="s">
        <v>30</v>
      </c>
    </row>
    <row r="325" spans="1:15" ht="15">
      <c r="A325" s="6" t="s">
        <v>109</v>
      </c>
      <c r="B325">
        <v>261</v>
      </c>
      <c r="C325" s="2">
        <v>43165</v>
      </c>
      <c r="D325" t="s">
        <v>151</v>
      </c>
      <c r="E325" s="2">
        <v>43039</v>
      </c>
      <c r="F325">
        <v>0</v>
      </c>
      <c r="G325" s="2">
        <v>43166</v>
      </c>
      <c r="H325" s="2">
        <v>43129</v>
      </c>
      <c r="I325" t="s">
        <v>16</v>
      </c>
      <c r="J325">
        <v>732</v>
      </c>
      <c r="K325">
        <v>132</v>
      </c>
      <c r="L325">
        <v>600</v>
      </c>
      <c r="M325">
        <v>37</v>
      </c>
      <c r="N325" s="3">
        <v>22200</v>
      </c>
      <c r="O325" s="1" t="s">
        <v>111</v>
      </c>
    </row>
    <row r="326" spans="1:15" ht="15">
      <c r="A326" s="6" t="s">
        <v>140</v>
      </c>
      <c r="B326">
        <v>125</v>
      </c>
      <c r="C326" s="2">
        <v>43144</v>
      </c>
      <c r="D326" t="str">
        <f>"004801713357"</f>
        <v>004801713357</v>
      </c>
      <c r="E326" s="2">
        <v>43074</v>
      </c>
      <c r="F326">
        <v>0</v>
      </c>
      <c r="G326" s="2">
        <v>43145</v>
      </c>
      <c r="H326" s="2">
        <v>43109</v>
      </c>
      <c r="I326" t="s">
        <v>16</v>
      </c>
      <c r="J326">
        <v>5.64</v>
      </c>
      <c r="K326">
        <v>1.02</v>
      </c>
      <c r="L326">
        <v>4.62</v>
      </c>
      <c r="M326">
        <v>36</v>
      </c>
      <c r="N326">
        <v>166.32</v>
      </c>
      <c r="O326" s="1" t="s">
        <v>71</v>
      </c>
    </row>
    <row r="327" spans="1:15" ht="15">
      <c r="A327" s="6" t="s">
        <v>140</v>
      </c>
      <c r="B327">
        <v>125</v>
      </c>
      <c r="C327" s="2">
        <v>43144</v>
      </c>
      <c r="D327" t="str">
        <f>"004801763574"</f>
        <v>004801763574</v>
      </c>
      <c r="E327" s="2">
        <v>43074</v>
      </c>
      <c r="F327">
        <v>0</v>
      </c>
      <c r="G327" s="2">
        <v>43145</v>
      </c>
      <c r="H327" s="2">
        <v>43109</v>
      </c>
      <c r="I327" t="s">
        <v>16</v>
      </c>
      <c r="J327">
        <v>104.98</v>
      </c>
      <c r="K327">
        <v>18.93</v>
      </c>
      <c r="L327">
        <v>86.05</v>
      </c>
      <c r="M327">
        <v>36</v>
      </c>
      <c r="N327" s="3">
        <v>3097.8</v>
      </c>
      <c r="O327" s="1" t="s">
        <v>71</v>
      </c>
    </row>
    <row r="328" spans="1:15" ht="15">
      <c r="A328" s="6" t="s">
        <v>140</v>
      </c>
      <c r="B328">
        <v>123</v>
      </c>
      <c r="C328" s="2">
        <v>43144</v>
      </c>
      <c r="D328" t="str">
        <f>"004801708225"</f>
        <v>004801708225</v>
      </c>
      <c r="E328" s="2">
        <v>43074</v>
      </c>
      <c r="F328">
        <v>0</v>
      </c>
      <c r="G328" s="2">
        <v>43145</v>
      </c>
      <c r="H328" s="2">
        <v>43109</v>
      </c>
      <c r="I328" t="s">
        <v>16</v>
      </c>
      <c r="J328">
        <v>8</v>
      </c>
      <c r="K328">
        <v>1.44</v>
      </c>
      <c r="L328">
        <v>6.56</v>
      </c>
      <c r="M328">
        <v>36</v>
      </c>
      <c r="N328">
        <v>236.16</v>
      </c>
      <c r="O328" s="1" t="s">
        <v>71</v>
      </c>
    </row>
    <row r="329" spans="1:15" ht="15">
      <c r="A329" s="6" t="s">
        <v>140</v>
      </c>
      <c r="B329">
        <v>123</v>
      </c>
      <c r="C329" s="2">
        <v>43144</v>
      </c>
      <c r="D329" t="str">
        <f>"004801708559"</f>
        <v>004801708559</v>
      </c>
      <c r="E329" s="2">
        <v>43074</v>
      </c>
      <c r="F329">
        <v>0</v>
      </c>
      <c r="G329" s="2">
        <v>43145</v>
      </c>
      <c r="H329" s="2">
        <v>43109</v>
      </c>
      <c r="I329" t="s">
        <v>16</v>
      </c>
      <c r="J329">
        <v>7.19</v>
      </c>
      <c r="K329">
        <v>1.3</v>
      </c>
      <c r="L329">
        <v>5.89</v>
      </c>
      <c r="M329">
        <v>36</v>
      </c>
      <c r="N329">
        <v>212.04</v>
      </c>
      <c r="O329" s="1" t="s">
        <v>71</v>
      </c>
    </row>
    <row r="330" spans="1:15" ht="15">
      <c r="A330" s="6" t="s">
        <v>140</v>
      </c>
      <c r="B330">
        <v>122</v>
      </c>
      <c r="C330" s="2">
        <v>43144</v>
      </c>
      <c r="D330" t="str">
        <f>"004801708187"</f>
        <v>004801708187</v>
      </c>
      <c r="E330" s="2">
        <v>43074</v>
      </c>
      <c r="F330">
        <v>0</v>
      </c>
      <c r="G330" s="2">
        <v>43145</v>
      </c>
      <c r="H330" s="2">
        <v>43109</v>
      </c>
      <c r="I330" t="s">
        <v>16</v>
      </c>
      <c r="J330">
        <v>46.7</v>
      </c>
      <c r="K330">
        <v>8.42</v>
      </c>
      <c r="L330">
        <v>38.28</v>
      </c>
      <c r="M330">
        <v>36</v>
      </c>
      <c r="N330" s="3">
        <v>1378.08</v>
      </c>
      <c r="O330" s="1" t="s">
        <v>71</v>
      </c>
    </row>
    <row r="331" spans="1:15" ht="15">
      <c r="A331" s="6" t="s">
        <v>140</v>
      </c>
      <c r="B331">
        <v>122</v>
      </c>
      <c r="C331" s="2">
        <v>43144</v>
      </c>
      <c r="D331" t="str">
        <f>"004801708212"</f>
        <v>004801708212</v>
      </c>
      <c r="E331" s="2">
        <v>43074</v>
      </c>
      <c r="F331">
        <v>0</v>
      </c>
      <c r="G331" s="2">
        <v>43145</v>
      </c>
      <c r="H331" s="2">
        <v>43109</v>
      </c>
      <c r="I331" t="s">
        <v>16</v>
      </c>
      <c r="J331">
        <v>39.7</v>
      </c>
      <c r="K331">
        <v>7.16</v>
      </c>
      <c r="L331">
        <v>32.54</v>
      </c>
      <c r="M331">
        <v>36</v>
      </c>
      <c r="N331" s="3">
        <v>1171.44</v>
      </c>
      <c r="O331" s="1" t="s">
        <v>71</v>
      </c>
    </row>
    <row r="332" spans="1:15" ht="15">
      <c r="A332" s="6" t="s">
        <v>140</v>
      </c>
      <c r="B332">
        <v>125</v>
      </c>
      <c r="C332" s="2">
        <v>43144</v>
      </c>
      <c r="D332" t="str">
        <f>"004801713359"</f>
        <v>004801713359</v>
      </c>
      <c r="E332" s="2">
        <v>43074</v>
      </c>
      <c r="F332">
        <v>0</v>
      </c>
      <c r="G332" s="2">
        <v>43145</v>
      </c>
      <c r="H332" s="2">
        <v>43109</v>
      </c>
      <c r="I332" t="s">
        <v>16</v>
      </c>
      <c r="J332">
        <v>33.06</v>
      </c>
      <c r="K332">
        <v>5.96</v>
      </c>
      <c r="L332">
        <v>27.1</v>
      </c>
      <c r="M332">
        <v>36</v>
      </c>
      <c r="N332">
        <v>975.6</v>
      </c>
      <c r="O332" s="1" t="s">
        <v>71</v>
      </c>
    </row>
    <row r="333" spans="1:15" ht="15">
      <c r="A333" s="6" t="s">
        <v>140</v>
      </c>
      <c r="B333">
        <v>123</v>
      </c>
      <c r="C333" s="2">
        <v>43144</v>
      </c>
      <c r="D333" t="str">
        <f>"004801708217"</f>
        <v>004801708217</v>
      </c>
      <c r="E333" s="2">
        <v>43074</v>
      </c>
      <c r="F333">
        <v>0</v>
      </c>
      <c r="G333" s="2">
        <v>43145</v>
      </c>
      <c r="H333" s="2">
        <v>43109</v>
      </c>
      <c r="I333" t="s">
        <v>16</v>
      </c>
      <c r="J333">
        <v>19.85</v>
      </c>
      <c r="K333">
        <v>3.58</v>
      </c>
      <c r="L333">
        <v>16.27</v>
      </c>
      <c r="M333">
        <v>36</v>
      </c>
      <c r="N333">
        <v>585.72</v>
      </c>
      <c r="O333" s="1" t="s">
        <v>71</v>
      </c>
    </row>
    <row r="334" spans="1:15" ht="15">
      <c r="A334" s="6" t="s">
        <v>140</v>
      </c>
      <c r="B334">
        <v>123</v>
      </c>
      <c r="C334" s="2">
        <v>43144</v>
      </c>
      <c r="D334" t="str">
        <f>"004801708550"</f>
        <v>004801708550</v>
      </c>
      <c r="E334" s="2">
        <v>43074</v>
      </c>
      <c r="F334">
        <v>0</v>
      </c>
      <c r="G334" s="2">
        <v>43145</v>
      </c>
      <c r="H334" s="2">
        <v>43109</v>
      </c>
      <c r="I334" t="s">
        <v>16</v>
      </c>
      <c r="J334">
        <v>3.25</v>
      </c>
      <c r="K334">
        <v>0.59</v>
      </c>
      <c r="L334">
        <v>2.66</v>
      </c>
      <c r="M334">
        <v>36</v>
      </c>
      <c r="N334">
        <v>95.76</v>
      </c>
      <c r="O334" s="1" t="s">
        <v>71</v>
      </c>
    </row>
    <row r="335" spans="1:15" ht="15">
      <c r="A335" s="6" t="s">
        <v>140</v>
      </c>
      <c r="B335">
        <v>122</v>
      </c>
      <c r="C335" s="2">
        <v>43144</v>
      </c>
      <c r="D335" t="str">
        <f>"004801708185"</f>
        <v>004801708185</v>
      </c>
      <c r="E335" s="2">
        <v>43074</v>
      </c>
      <c r="F335">
        <v>0</v>
      </c>
      <c r="G335" s="2">
        <v>43145</v>
      </c>
      <c r="H335" s="2">
        <v>43109</v>
      </c>
      <c r="I335" t="s">
        <v>16</v>
      </c>
      <c r="J335">
        <v>87.36</v>
      </c>
      <c r="K335">
        <v>15.75</v>
      </c>
      <c r="L335">
        <v>71.61</v>
      </c>
      <c r="M335">
        <v>36</v>
      </c>
      <c r="N335" s="3">
        <v>2577.96</v>
      </c>
      <c r="O335" s="1" t="s">
        <v>71</v>
      </c>
    </row>
    <row r="336" spans="1:15" ht="15">
      <c r="A336" s="6" t="s">
        <v>140</v>
      </c>
      <c r="B336">
        <v>121</v>
      </c>
      <c r="C336" s="2">
        <v>43144</v>
      </c>
      <c r="D336" t="str">
        <f>"004801763577"</f>
        <v>004801763577</v>
      </c>
      <c r="E336" s="2">
        <v>43074</v>
      </c>
      <c r="F336">
        <v>0</v>
      </c>
      <c r="G336" s="2">
        <v>43145</v>
      </c>
      <c r="H336" s="2">
        <v>43109</v>
      </c>
      <c r="I336" t="s">
        <v>16</v>
      </c>
      <c r="J336">
        <v>44.82</v>
      </c>
      <c r="K336">
        <v>8.08</v>
      </c>
      <c r="L336">
        <v>36.74</v>
      </c>
      <c r="M336">
        <v>36</v>
      </c>
      <c r="N336" s="3">
        <v>1322.64</v>
      </c>
      <c r="O336" s="1" t="s">
        <v>71</v>
      </c>
    </row>
    <row r="337" spans="1:15" ht="15">
      <c r="A337" s="6" t="s">
        <v>140</v>
      </c>
      <c r="B337">
        <v>122</v>
      </c>
      <c r="C337" s="2">
        <v>43144</v>
      </c>
      <c r="D337" t="str">
        <f>"004801708213"</f>
        <v>004801708213</v>
      </c>
      <c r="E337" s="2">
        <v>43074</v>
      </c>
      <c r="F337">
        <v>0</v>
      </c>
      <c r="G337" s="2">
        <v>43145</v>
      </c>
      <c r="H337" s="2">
        <v>43109</v>
      </c>
      <c r="I337" t="s">
        <v>16</v>
      </c>
      <c r="J337">
        <v>51.11</v>
      </c>
      <c r="K337">
        <v>9.22</v>
      </c>
      <c r="L337">
        <v>41.89</v>
      </c>
      <c r="M337">
        <v>36</v>
      </c>
      <c r="N337" s="3">
        <v>1508.04</v>
      </c>
      <c r="O337" s="1" t="s">
        <v>71</v>
      </c>
    </row>
    <row r="338" spans="1:15" ht="15">
      <c r="A338" s="6" t="s">
        <v>140</v>
      </c>
      <c r="B338">
        <v>123</v>
      </c>
      <c r="C338" s="2">
        <v>43144</v>
      </c>
      <c r="D338" t="str">
        <f>"004801708229"</f>
        <v>004801708229</v>
      </c>
      <c r="E338" s="2">
        <v>43074</v>
      </c>
      <c r="F338">
        <v>0</v>
      </c>
      <c r="G338" s="2">
        <v>43145</v>
      </c>
      <c r="H338" s="2">
        <v>43109</v>
      </c>
      <c r="I338" t="s">
        <v>16</v>
      </c>
      <c r="J338">
        <v>49.96</v>
      </c>
      <c r="K338">
        <v>9.01</v>
      </c>
      <c r="L338">
        <v>40.95</v>
      </c>
      <c r="M338">
        <v>36</v>
      </c>
      <c r="N338" s="3">
        <v>1474.2</v>
      </c>
      <c r="O338" s="1" t="s">
        <v>71</v>
      </c>
    </row>
    <row r="339" spans="1:15" ht="15">
      <c r="A339" s="6" t="s">
        <v>140</v>
      </c>
      <c r="B339">
        <v>127</v>
      </c>
      <c r="C339" s="2">
        <v>43144</v>
      </c>
      <c r="D339" t="str">
        <f>"004801713355"</f>
        <v>004801713355</v>
      </c>
      <c r="E339" s="2">
        <v>43074</v>
      </c>
      <c r="F339">
        <v>0</v>
      </c>
      <c r="G339" s="2">
        <v>43145</v>
      </c>
      <c r="H339" s="2">
        <v>43109</v>
      </c>
      <c r="I339" t="s">
        <v>16</v>
      </c>
      <c r="J339">
        <v>402.97</v>
      </c>
      <c r="K339">
        <v>72.67</v>
      </c>
      <c r="L339">
        <v>330.3</v>
      </c>
      <c r="M339">
        <v>36</v>
      </c>
      <c r="N339" s="3">
        <v>11890.8</v>
      </c>
      <c r="O339" s="1" t="s">
        <v>71</v>
      </c>
    </row>
    <row r="340" spans="1:15" ht="15">
      <c r="A340" s="6" t="s">
        <v>140</v>
      </c>
      <c r="B340">
        <v>122</v>
      </c>
      <c r="C340" s="2">
        <v>43144</v>
      </c>
      <c r="D340" t="str">
        <f>"004801708202"</f>
        <v>004801708202</v>
      </c>
      <c r="E340" s="2">
        <v>43074</v>
      </c>
      <c r="F340">
        <v>0</v>
      </c>
      <c r="G340" s="2">
        <v>43145</v>
      </c>
      <c r="H340" s="2">
        <v>43109</v>
      </c>
      <c r="I340" t="s">
        <v>16</v>
      </c>
      <c r="J340">
        <v>93.11</v>
      </c>
      <c r="K340">
        <v>16.79</v>
      </c>
      <c r="L340">
        <v>76.32</v>
      </c>
      <c r="M340">
        <v>36</v>
      </c>
      <c r="N340" s="3">
        <v>2747.52</v>
      </c>
      <c r="O340" s="1" t="s">
        <v>71</v>
      </c>
    </row>
    <row r="341" spans="1:15" ht="15">
      <c r="A341" s="6" t="s">
        <v>140</v>
      </c>
      <c r="B341">
        <v>123</v>
      </c>
      <c r="C341" s="2">
        <v>43144</v>
      </c>
      <c r="D341" t="str">
        <f>"004801708553"</f>
        <v>004801708553</v>
      </c>
      <c r="E341" s="2">
        <v>43074</v>
      </c>
      <c r="F341">
        <v>0</v>
      </c>
      <c r="G341" s="2">
        <v>43145</v>
      </c>
      <c r="H341" s="2">
        <v>43109</v>
      </c>
      <c r="I341" t="s">
        <v>16</v>
      </c>
      <c r="J341">
        <v>1.74</v>
      </c>
      <c r="K341">
        <v>0.31</v>
      </c>
      <c r="L341">
        <v>1.43</v>
      </c>
      <c r="M341">
        <v>36</v>
      </c>
      <c r="N341">
        <v>51.48</v>
      </c>
      <c r="O341" s="1" t="s">
        <v>71</v>
      </c>
    </row>
    <row r="342" spans="1:15" ht="15">
      <c r="A342" s="6" t="s">
        <v>140</v>
      </c>
      <c r="B342">
        <v>123</v>
      </c>
      <c r="C342" s="2">
        <v>43144</v>
      </c>
      <c r="D342" t="str">
        <f>"004801708222"</f>
        <v>004801708222</v>
      </c>
      <c r="E342" s="2">
        <v>43074</v>
      </c>
      <c r="F342">
        <v>0</v>
      </c>
      <c r="G342" s="2">
        <v>43145</v>
      </c>
      <c r="H342" s="2">
        <v>43109</v>
      </c>
      <c r="I342" t="s">
        <v>16</v>
      </c>
      <c r="J342">
        <v>102.07</v>
      </c>
      <c r="K342">
        <v>18.41</v>
      </c>
      <c r="L342">
        <v>83.66</v>
      </c>
      <c r="M342">
        <v>36</v>
      </c>
      <c r="N342" s="3">
        <v>3011.76</v>
      </c>
      <c r="O342" s="1" t="s">
        <v>71</v>
      </c>
    </row>
    <row r="343" spans="1:15" ht="15">
      <c r="A343" s="6" t="s">
        <v>140</v>
      </c>
      <c r="B343">
        <v>122</v>
      </c>
      <c r="C343" s="2">
        <v>43144</v>
      </c>
      <c r="D343" t="str">
        <f>"004801708190"</f>
        <v>004801708190</v>
      </c>
      <c r="E343" s="2">
        <v>43074</v>
      </c>
      <c r="F343">
        <v>0</v>
      </c>
      <c r="G343" s="2">
        <v>43145</v>
      </c>
      <c r="H343" s="2">
        <v>43109</v>
      </c>
      <c r="I343" t="s">
        <v>16</v>
      </c>
      <c r="J343">
        <v>62.16</v>
      </c>
      <c r="K343">
        <v>11.21</v>
      </c>
      <c r="L343">
        <v>50.95</v>
      </c>
      <c r="M343">
        <v>36</v>
      </c>
      <c r="N343" s="3">
        <v>1834.2</v>
      </c>
      <c r="O343" s="1" t="s">
        <v>71</v>
      </c>
    </row>
    <row r="344" spans="1:15" ht="15">
      <c r="A344" s="6" t="s">
        <v>140</v>
      </c>
      <c r="B344">
        <v>123</v>
      </c>
      <c r="C344" s="2">
        <v>43144</v>
      </c>
      <c r="D344" t="str">
        <f>"004801708558"</f>
        <v>004801708558</v>
      </c>
      <c r="E344" s="2">
        <v>43074</v>
      </c>
      <c r="F344">
        <v>0</v>
      </c>
      <c r="G344" s="2">
        <v>43145</v>
      </c>
      <c r="H344" s="2">
        <v>43109</v>
      </c>
      <c r="I344" t="s">
        <v>16</v>
      </c>
      <c r="J344">
        <v>52.46</v>
      </c>
      <c r="K344">
        <v>9.46</v>
      </c>
      <c r="L344">
        <v>43</v>
      </c>
      <c r="M344">
        <v>36</v>
      </c>
      <c r="N344" s="3">
        <v>1548</v>
      </c>
      <c r="O344" s="1" t="s">
        <v>71</v>
      </c>
    </row>
    <row r="345" spans="1:15" ht="15">
      <c r="A345" s="6" t="s">
        <v>140</v>
      </c>
      <c r="B345">
        <v>123</v>
      </c>
      <c r="C345" s="2">
        <v>43144</v>
      </c>
      <c r="D345" t="str">
        <f>"004801708221"</f>
        <v>004801708221</v>
      </c>
      <c r="E345" s="2">
        <v>43074</v>
      </c>
      <c r="F345">
        <v>0</v>
      </c>
      <c r="G345" s="2">
        <v>43145</v>
      </c>
      <c r="H345" s="2">
        <v>43109</v>
      </c>
      <c r="I345" t="s">
        <v>16</v>
      </c>
      <c r="J345">
        <v>35.11</v>
      </c>
      <c r="K345">
        <v>6.33</v>
      </c>
      <c r="L345">
        <v>28.78</v>
      </c>
      <c r="M345">
        <v>36</v>
      </c>
      <c r="N345" s="3">
        <v>1036.08</v>
      </c>
      <c r="O345" s="1" t="s">
        <v>71</v>
      </c>
    </row>
    <row r="346" spans="1:15" ht="15">
      <c r="A346" s="6" t="s">
        <v>140</v>
      </c>
      <c r="B346">
        <v>122</v>
      </c>
      <c r="C346" s="2">
        <v>43144</v>
      </c>
      <c r="D346" t="str">
        <f>"004801708204"</f>
        <v>004801708204</v>
      </c>
      <c r="E346" s="2">
        <v>43074</v>
      </c>
      <c r="F346">
        <v>0</v>
      </c>
      <c r="G346" s="2">
        <v>43145</v>
      </c>
      <c r="H346" s="2">
        <v>43109</v>
      </c>
      <c r="I346" t="s">
        <v>16</v>
      </c>
      <c r="J346">
        <v>132.54</v>
      </c>
      <c r="K346">
        <v>23.9</v>
      </c>
      <c r="L346">
        <v>108.64</v>
      </c>
      <c r="M346">
        <v>36</v>
      </c>
      <c r="N346" s="3">
        <v>3911.04</v>
      </c>
      <c r="O346" s="1" t="s">
        <v>71</v>
      </c>
    </row>
    <row r="347" spans="1:15" ht="15">
      <c r="A347" s="6" t="s">
        <v>140</v>
      </c>
      <c r="B347">
        <v>123</v>
      </c>
      <c r="C347" s="2">
        <v>43144</v>
      </c>
      <c r="D347" t="str">
        <f>"004801763563"</f>
        <v>004801763563</v>
      </c>
      <c r="E347" s="2">
        <v>43074</v>
      </c>
      <c r="F347">
        <v>0</v>
      </c>
      <c r="G347" s="2">
        <v>43145</v>
      </c>
      <c r="H347" s="2">
        <v>43109</v>
      </c>
      <c r="I347" t="s">
        <v>16</v>
      </c>
      <c r="J347" s="3">
        <v>1927.14</v>
      </c>
      <c r="K347">
        <v>347.52</v>
      </c>
      <c r="L347" s="3">
        <v>1579.62</v>
      </c>
      <c r="M347">
        <v>36</v>
      </c>
      <c r="N347" s="3">
        <v>56866.32</v>
      </c>
      <c r="O347" s="1" t="s">
        <v>71</v>
      </c>
    </row>
    <row r="348" spans="1:15" ht="15">
      <c r="A348" s="6" t="s">
        <v>140</v>
      </c>
      <c r="B348">
        <v>123</v>
      </c>
      <c r="C348" s="2">
        <v>43144</v>
      </c>
      <c r="D348" t="str">
        <f>"004801708554"</f>
        <v>004801708554</v>
      </c>
      <c r="E348" s="2">
        <v>43074</v>
      </c>
      <c r="F348">
        <v>0</v>
      </c>
      <c r="G348" s="2">
        <v>43145</v>
      </c>
      <c r="H348" s="2">
        <v>43109</v>
      </c>
      <c r="I348" t="s">
        <v>16</v>
      </c>
      <c r="J348">
        <v>7.19</v>
      </c>
      <c r="K348">
        <v>1.3</v>
      </c>
      <c r="L348">
        <v>5.89</v>
      </c>
      <c r="M348">
        <v>36</v>
      </c>
      <c r="N348">
        <v>212.04</v>
      </c>
      <c r="O348" s="1" t="s">
        <v>71</v>
      </c>
    </row>
    <row r="349" spans="1:15" ht="15">
      <c r="A349" s="6" t="s">
        <v>140</v>
      </c>
      <c r="B349">
        <v>122</v>
      </c>
      <c r="C349" s="2">
        <v>43144</v>
      </c>
      <c r="D349" t="str">
        <f>"004801708208"</f>
        <v>004801708208</v>
      </c>
      <c r="E349" s="2">
        <v>43074</v>
      </c>
      <c r="F349">
        <v>0</v>
      </c>
      <c r="G349" s="2">
        <v>43145</v>
      </c>
      <c r="H349" s="2">
        <v>43109</v>
      </c>
      <c r="I349" t="s">
        <v>16</v>
      </c>
      <c r="J349">
        <v>143.28</v>
      </c>
      <c r="K349">
        <v>25.84</v>
      </c>
      <c r="L349">
        <v>117.44</v>
      </c>
      <c r="M349">
        <v>36</v>
      </c>
      <c r="N349" s="3">
        <v>4227.84</v>
      </c>
      <c r="O349" s="1" t="s">
        <v>71</v>
      </c>
    </row>
    <row r="350" spans="1:15" ht="15">
      <c r="A350" s="6" t="s">
        <v>140</v>
      </c>
      <c r="B350">
        <v>125</v>
      </c>
      <c r="C350" s="2">
        <v>43144</v>
      </c>
      <c r="D350" t="str">
        <f>"004801763564"</f>
        <v>004801763564</v>
      </c>
      <c r="E350" s="2">
        <v>43074</v>
      </c>
      <c r="F350">
        <v>0</v>
      </c>
      <c r="G350" s="2">
        <v>43145</v>
      </c>
      <c r="H350" s="2">
        <v>43109</v>
      </c>
      <c r="I350" t="s">
        <v>16</v>
      </c>
      <c r="J350">
        <v>27.67</v>
      </c>
      <c r="K350">
        <v>4.99</v>
      </c>
      <c r="L350">
        <v>22.68</v>
      </c>
      <c r="M350">
        <v>36</v>
      </c>
      <c r="N350">
        <v>816.48</v>
      </c>
      <c r="O350" s="1" t="s">
        <v>71</v>
      </c>
    </row>
    <row r="351" spans="1:15" ht="15">
      <c r="A351" s="6" t="s">
        <v>140</v>
      </c>
      <c r="B351">
        <v>124</v>
      </c>
      <c r="C351" s="2">
        <v>43144</v>
      </c>
      <c r="D351" t="str">
        <f>"004801708198"</f>
        <v>004801708198</v>
      </c>
      <c r="E351" s="2">
        <v>43074</v>
      </c>
      <c r="F351">
        <v>0</v>
      </c>
      <c r="G351" s="2">
        <v>43145</v>
      </c>
      <c r="H351" s="2">
        <v>43109</v>
      </c>
      <c r="I351" t="s">
        <v>16</v>
      </c>
      <c r="J351" s="3">
        <v>3694.18</v>
      </c>
      <c r="K351">
        <v>666.16</v>
      </c>
      <c r="L351" s="3">
        <v>3028.02</v>
      </c>
      <c r="M351">
        <v>36</v>
      </c>
      <c r="N351" s="3">
        <v>109008.72</v>
      </c>
      <c r="O351" s="1" t="s">
        <v>71</v>
      </c>
    </row>
    <row r="352" spans="1:15" ht="15">
      <c r="A352" s="6" t="s">
        <v>140</v>
      </c>
      <c r="B352">
        <v>122</v>
      </c>
      <c r="C352" s="2">
        <v>43144</v>
      </c>
      <c r="D352" t="str">
        <f>"004801708210"</f>
        <v>004801708210</v>
      </c>
      <c r="E352" s="2">
        <v>43074</v>
      </c>
      <c r="F352">
        <v>0</v>
      </c>
      <c r="G352" s="2">
        <v>43145</v>
      </c>
      <c r="H352" s="2">
        <v>43109</v>
      </c>
      <c r="I352" t="s">
        <v>16</v>
      </c>
      <c r="J352">
        <v>110.06</v>
      </c>
      <c r="K352">
        <v>19.85</v>
      </c>
      <c r="L352">
        <v>90.21</v>
      </c>
      <c r="M352">
        <v>36</v>
      </c>
      <c r="N352" s="3">
        <v>3247.56</v>
      </c>
      <c r="O352" s="1" t="s">
        <v>71</v>
      </c>
    </row>
    <row r="353" spans="1:15" ht="15">
      <c r="A353" s="6" t="s">
        <v>140</v>
      </c>
      <c r="B353">
        <v>122</v>
      </c>
      <c r="C353" s="2">
        <v>43144</v>
      </c>
      <c r="D353" t="str">
        <f>"004801708203"</f>
        <v>004801708203</v>
      </c>
      <c r="E353" s="2">
        <v>43074</v>
      </c>
      <c r="F353">
        <v>0</v>
      </c>
      <c r="G353" s="2">
        <v>43145</v>
      </c>
      <c r="H353" s="2">
        <v>43109</v>
      </c>
      <c r="I353" t="s">
        <v>16</v>
      </c>
      <c r="J353">
        <v>148.58</v>
      </c>
      <c r="K353">
        <v>26.79</v>
      </c>
      <c r="L353">
        <v>121.79</v>
      </c>
      <c r="M353">
        <v>36</v>
      </c>
      <c r="N353" s="3">
        <v>4384.44</v>
      </c>
      <c r="O353" s="1" t="s">
        <v>71</v>
      </c>
    </row>
    <row r="354" spans="1:15" ht="15">
      <c r="A354" s="6" t="s">
        <v>140</v>
      </c>
      <c r="B354">
        <v>121</v>
      </c>
      <c r="C354" s="2">
        <v>43144</v>
      </c>
      <c r="D354" t="str">
        <f>"004801763567"</f>
        <v>004801763567</v>
      </c>
      <c r="E354" s="2">
        <v>43074</v>
      </c>
      <c r="F354">
        <v>0</v>
      </c>
      <c r="G354" s="2">
        <v>43145</v>
      </c>
      <c r="H354" s="2">
        <v>43109</v>
      </c>
      <c r="I354" t="s">
        <v>16</v>
      </c>
      <c r="J354">
        <v>22.42</v>
      </c>
      <c r="K354">
        <v>4.04</v>
      </c>
      <c r="L354">
        <v>18.38</v>
      </c>
      <c r="M354">
        <v>36</v>
      </c>
      <c r="N354">
        <v>661.68</v>
      </c>
      <c r="O354" s="1" t="s">
        <v>71</v>
      </c>
    </row>
    <row r="355" spans="1:15" ht="15">
      <c r="A355" s="6" t="s">
        <v>140</v>
      </c>
      <c r="B355">
        <v>123</v>
      </c>
      <c r="C355" s="2">
        <v>43144</v>
      </c>
      <c r="D355" t="str">
        <f>"004801708220"</f>
        <v>004801708220</v>
      </c>
      <c r="E355" s="2">
        <v>43074</v>
      </c>
      <c r="F355">
        <v>0</v>
      </c>
      <c r="G355" s="2">
        <v>43145</v>
      </c>
      <c r="H355" s="2">
        <v>43109</v>
      </c>
      <c r="I355" t="s">
        <v>16</v>
      </c>
      <c r="J355">
        <v>146.47</v>
      </c>
      <c r="K355">
        <v>26.41</v>
      </c>
      <c r="L355">
        <v>120.06</v>
      </c>
      <c r="M355">
        <v>36</v>
      </c>
      <c r="N355" s="3">
        <v>4322.16</v>
      </c>
      <c r="O355" s="1" t="s">
        <v>71</v>
      </c>
    </row>
    <row r="356" spans="1:15" ht="15">
      <c r="A356" s="6" t="s">
        <v>140</v>
      </c>
      <c r="B356">
        <v>126</v>
      </c>
      <c r="C356" s="2">
        <v>43144</v>
      </c>
      <c r="D356" t="str">
        <f>"004801763572"</f>
        <v>004801763572</v>
      </c>
      <c r="E356" s="2">
        <v>43074</v>
      </c>
      <c r="F356">
        <v>0</v>
      </c>
      <c r="G356" s="2">
        <v>43145</v>
      </c>
      <c r="H356" s="2">
        <v>43109</v>
      </c>
      <c r="I356" t="s">
        <v>16</v>
      </c>
      <c r="J356">
        <v>187.43</v>
      </c>
      <c r="K356">
        <v>33.8</v>
      </c>
      <c r="L356">
        <v>153.63</v>
      </c>
      <c r="M356">
        <v>36</v>
      </c>
      <c r="N356" s="3">
        <v>5530.68</v>
      </c>
      <c r="O356" s="1" t="s">
        <v>71</v>
      </c>
    </row>
    <row r="357" spans="1:15" ht="15">
      <c r="A357" s="6" t="s">
        <v>140</v>
      </c>
      <c r="B357">
        <v>123</v>
      </c>
      <c r="C357" s="2">
        <v>43144</v>
      </c>
      <c r="D357" t="str">
        <f>"004801708549"</f>
        <v>004801708549</v>
      </c>
      <c r="E357" s="2">
        <v>43074</v>
      </c>
      <c r="F357">
        <v>0</v>
      </c>
      <c r="G357" s="2">
        <v>43145</v>
      </c>
      <c r="H357" s="2">
        <v>43109</v>
      </c>
      <c r="I357" t="s">
        <v>16</v>
      </c>
      <c r="J357">
        <v>10.5</v>
      </c>
      <c r="K357">
        <v>1.89</v>
      </c>
      <c r="L357">
        <v>8.61</v>
      </c>
      <c r="M357">
        <v>36</v>
      </c>
      <c r="N357">
        <v>309.96</v>
      </c>
      <c r="O357" s="1" t="s">
        <v>71</v>
      </c>
    </row>
    <row r="358" spans="1:15" ht="15">
      <c r="A358" s="6" t="s">
        <v>140</v>
      </c>
      <c r="B358">
        <v>123</v>
      </c>
      <c r="C358" s="2">
        <v>43144</v>
      </c>
      <c r="D358" t="str">
        <f>"004801708227"</f>
        <v>004801708227</v>
      </c>
      <c r="E358" s="2">
        <v>43074</v>
      </c>
      <c r="F358">
        <v>0</v>
      </c>
      <c r="G358" s="2">
        <v>43145</v>
      </c>
      <c r="H358" s="2">
        <v>43109</v>
      </c>
      <c r="I358" t="s">
        <v>16</v>
      </c>
      <c r="J358">
        <v>114.03</v>
      </c>
      <c r="K358">
        <v>20.56</v>
      </c>
      <c r="L358">
        <v>93.47</v>
      </c>
      <c r="M358">
        <v>36</v>
      </c>
      <c r="N358" s="3">
        <v>3364.92</v>
      </c>
      <c r="O358" s="1" t="s">
        <v>71</v>
      </c>
    </row>
    <row r="359" spans="1:15" ht="15">
      <c r="A359" s="6" t="s">
        <v>140</v>
      </c>
      <c r="B359">
        <v>123</v>
      </c>
      <c r="C359" s="2">
        <v>43144</v>
      </c>
      <c r="D359" t="str">
        <f>"004801708219"</f>
        <v>004801708219</v>
      </c>
      <c r="E359" s="2">
        <v>43074</v>
      </c>
      <c r="F359">
        <v>0</v>
      </c>
      <c r="G359" s="2">
        <v>43145</v>
      </c>
      <c r="H359" s="2">
        <v>43109</v>
      </c>
      <c r="I359" t="s">
        <v>16</v>
      </c>
      <c r="J359">
        <v>92.11</v>
      </c>
      <c r="K359">
        <v>16.61</v>
      </c>
      <c r="L359">
        <v>75.5</v>
      </c>
      <c r="M359">
        <v>36</v>
      </c>
      <c r="N359" s="3">
        <v>2718</v>
      </c>
      <c r="O359" s="1" t="s">
        <v>71</v>
      </c>
    </row>
    <row r="360" spans="1:15" ht="15">
      <c r="A360" s="6" t="s">
        <v>140</v>
      </c>
      <c r="B360">
        <v>127</v>
      </c>
      <c r="C360" s="2">
        <v>43144</v>
      </c>
      <c r="D360" t="str">
        <f>"004801708194"</f>
        <v>004801708194</v>
      </c>
      <c r="E360" s="2">
        <v>43074</v>
      </c>
      <c r="F360">
        <v>0</v>
      </c>
      <c r="G360" s="2">
        <v>43145</v>
      </c>
      <c r="H360" s="2">
        <v>43109</v>
      </c>
      <c r="I360" t="s">
        <v>16</v>
      </c>
      <c r="J360">
        <v>22.23</v>
      </c>
      <c r="K360">
        <v>4.01</v>
      </c>
      <c r="L360">
        <v>18.22</v>
      </c>
      <c r="M360">
        <v>36</v>
      </c>
      <c r="N360">
        <v>655.92</v>
      </c>
      <c r="O360" s="1" t="s">
        <v>71</v>
      </c>
    </row>
    <row r="361" spans="1:15" ht="15">
      <c r="A361" s="6" t="s">
        <v>140</v>
      </c>
      <c r="B361">
        <v>122</v>
      </c>
      <c r="C361" s="2">
        <v>43144</v>
      </c>
      <c r="D361" t="str">
        <f>"004801708199"</f>
        <v>004801708199</v>
      </c>
      <c r="E361" s="2">
        <v>43074</v>
      </c>
      <c r="F361">
        <v>0</v>
      </c>
      <c r="G361" s="2">
        <v>43145</v>
      </c>
      <c r="H361" s="2">
        <v>43109</v>
      </c>
      <c r="I361" t="s">
        <v>16</v>
      </c>
      <c r="J361">
        <v>88.36</v>
      </c>
      <c r="K361">
        <v>15.93</v>
      </c>
      <c r="L361">
        <v>72.43</v>
      </c>
      <c r="M361">
        <v>36</v>
      </c>
      <c r="N361" s="3">
        <v>2607.48</v>
      </c>
      <c r="O361" s="1" t="s">
        <v>71</v>
      </c>
    </row>
    <row r="362" spans="1:15" ht="15">
      <c r="A362" s="6" t="s">
        <v>140</v>
      </c>
      <c r="B362">
        <v>121</v>
      </c>
      <c r="C362" s="2">
        <v>43144</v>
      </c>
      <c r="D362" t="str">
        <f>"004801763575"</f>
        <v>004801763575</v>
      </c>
      <c r="E362" s="2">
        <v>43074</v>
      </c>
      <c r="F362">
        <v>0</v>
      </c>
      <c r="G362" s="2">
        <v>43145</v>
      </c>
      <c r="H362" s="2">
        <v>43109</v>
      </c>
      <c r="I362" t="s">
        <v>16</v>
      </c>
      <c r="J362">
        <v>41.93</v>
      </c>
      <c r="K362">
        <v>7.56</v>
      </c>
      <c r="L362">
        <v>34.37</v>
      </c>
      <c r="M362">
        <v>36</v>
      </c>
      <c r="N362" s="3">
        <v>1237.32</v>
      </c>
      <c r="O362" s="1" t="s">
        <v>71</v>
      </c>
    </row>
    <row r="363" spans="1:15" ht="15">
      <c r="A363" s="6" t="s">
        <v>140</v>
      </c>
      <c r="B363">
        <v>125</v>
      </c>
      <c r="C363" s="2">
        <v>43144</v>
      </c>
      <c r="D363" t="str">
        <f>"004801763570"</f>
        <v>004801763570</v>
      </c>
      <c r="E363" s="2">
        <v>43074</v>
      </c>
      <c r="F363">
        <v>0</v>
      </c>
      <c r="G363" s="2">
        <v>43145</v>
      </c>
      <c r="H363" s="2">
        <v>43109</v>
      </c>
      <c r="I363" t="s">
        <v>16</v>
      </c>
      <c r="J363">
        <v>26.99</v>
      </c>
      <c r="K363">
        <v>4.87</v>
      </c>
      <c r="L363">
        <v>22.12</v>
      </c>
      <c r="M363">
        <v>36</v>
      </c>
      <c r="N363">
        <v>796.32</v>
      </c>
      <c r="O363" s="1" t="s">
        <v>71</v>
      </c>
    </row>
    <row r="364" spans="1:15" ht="15">
      <c r="A364" s="6" t="s">
        <v>140</v>
      </c>
      <c r="B364">
        <v>125</v>
      </c>
      <c r="C364" s="2">
        <v>43144</v>
      </c>
      <c r="D364" t="str">
        <f>"004801763565"</f>
        <v>004801763565</v>
      </c>
      <c r="E364" s="2">
        <v>43074</v>
      </c>
      <c r="F364">
        <v>0</v>
      </c>
      <c r="G364" s="2">
        <v>43145</v>
      </c>
      <c r="H364" s="2">
        <v>43109</v>
      </c>
      <c r="I364" t="s">
        <v>16</v>
      </c>
      <c r="J364">
        <v>30.62</v>
      </c>
      <c r="K364">
        <v>5.52</v>
      </c>
      <c r="L364">
        <v>25.1</v>
      </c>
      <c r="M364">
        <v>36</v>
      </c>
      <c r="N364">
        <v>903.6</v>
      </c>
      <c r="O364" s="1" t="s">
        <v>71</v>
      </c>
    </row>
    <row r="365" spans="1:15" ht="15">
      <c r="A365" s="6" t="s">
        <v>140</v>
      </c>
      <c r="B365">
        <v>122</v>
      </c>
      <c r="C365" s="2">
        <v>43144</v>
      </c>
      <c r="D365" t="str">
        <f>"004801708186"</f>
        <v>004801708186</v>
      </c>
      <c r="E365" s="2">
        <v>43074</v>
      </c>
      <c r="F365">
        <v>0</v>
      </c>
      <c r="G365" s="2">
        <v>43145</v>
      </c>
      <c r="H365" s="2">
        <v>43109</v>
      </c>
      <c r="I365" t="s">
        <v>16</v>
      </c>
      <c r="J365">
        <v>575.63</v>
      </c>
      <c r="K365">
        <v>103.8</v>
      </c>
      <c r="L365">
        <v>471.83</v>
      </c>
      <c r="M365">
        <v>36</v>
      </c>
      <c r="N365" s="3">
        <v>16985.88</v>
      </c>
      <c r="O365" s="1" t="s">
        <v>71</v>
      </c>
    </row>
    <row r="366" spans="1:15" ht="15">
      <c r="A366" s="6" t="s">
        <v>140</v>
      </c>
      <c r="B366">
        <v>123</v>
      </c>
      <c r="C366" s="2">
        <v>43144</v>
      </c>
      <c r="D366" t="str">
        <f>"004801708548"</f>
        <v>004801708548</v>
      </c>
      <c r="E366" s="2">
        <v>43074</v>
      </c>
      <c r="F366">
        <v>0</v>
      </c>
      <c r="G366" s="2">
        <v>43145</v>
      </c>
      <c r="H366" s="2">
        <v>43109</v>
      </c>
      <c r="I366" t="s">
        <v>16</v>
      </c>
      <c r="J366">
        <v>39.25</v>
      </c>
      <c r="K366">
        <v>7.08</v>
      </c>
      <c r="L366">
        <v>32.17</v>
      </c>
      <c r="M366">
        <v>36</v>
      </c>
      <c r="N366" s="3">
        <v>1158.12</v>
      </c>
      <c r="O366" s="1" t="s">
        <v>71</v>
      </c>
    </row>
    <row r="367" spans="1:15" ht="15">
      <c r="A367" s="6" t="s">
        <v>140</v>
      </c>
      <c r="B367">
        <v>121</v>
      </c>
      <c r="C367" s="2">
        <v>43144</v>
      </c>
      <c r="D367" t="str">
        <f>"004801763562"</f>
        <v>004801763562</v>
      </c>
      <c r="E367" s="2">
        <v>43074</v>
      </c>
      <c r="F367">
        <v>0</v>
      </c>
      <c r="G367" s="2">
        <v>43145</v>
      </c>
      <c r="H367" s="2">
        <v>43109</v>
      </c>
      <c r="I367" t="s">
        <v>16</v>
      </c>
      <c r="J367">
        <v>15.13</v>
      </c>
      <c r="K367">
        <v>2.73</v>
      </c>
      <c r="L367">
        <v>12.4</v>
      </c>
      <c r="M367">
        <v>36</v>
      </c>
      <c r="N367">
        <v>446.4</v>
      </c>
      <c r="O367" s="1" t="s">
        <v>71</v>
      </c>
    </row>
    <row r="368" spans="1:15" ht="15">
      <c r="A368" s="6" t="s">
        <v>140</v>
      </c>
      <c r="B368">
        <v>123</v>
      </c>
      <c r="C368" s="2">
        <v>43144</v>
      </c>
      <c r="D368" t="str">
        <f>"004801708555"</f>
        <v>004801708555</v>
      </c>
      <c r="E368" s="2">
        <v>43074</v>
      </c>
      <c r="F368">
        <v>0</v>
      </c>
      <c r="G368" s="2">
        <v>43145</v>
      </c>
      <c r="H368" s="2">
        <v>43109</v>
      </c>
      <c r="I368" t="s">
        <v>16</v>
      </c>
      <c r="J368">
        <v>5.19</v>
      </c>
      <c r="K368">
        <v>0.94</v>
      </c>
      <c r="L368">
        <v>4.25</v>
      </c>
      <c r="M368">
        <v>36</v>
      </c>
      <c r="N368">
        <v>153</v>
      </c>
      <c r="O368" s="1" t="s">
        <v>71</v>
      </c>
    </row>
    <row r="369" spans="1:15" ht="15">
      <c r="A369" s="6" t="s">
        <v>140</v>
      </c>
      <c r="B369">
        <v>122</v>
      </c>
      <c r="C369" s="2">
        <v>43144</v>
      </c>
      <c r="D369" t="str">
        <f>"004801708211"</f>
        <v>004801708211</v>
      </c>
      <c r="E369" s="2">
        <v>43074</v>
      </c>
      <c r="F369">
        <v>0</v>
      </c>
      <c r="G369" s="2">
        <v>43145</v>
      </c>
      <c r="H369" s="2">
        <v>43109</v>
      </c>
      <c r="I369" t="s">
        <v>16</v>
      </c>
      <c r="J369">
        <v>35.11</v>
      </c>
      <c r="K369">
        <v>6.33</v>
      </c>
      <c r="L369">
        <v>28.78</v>
      </c>
      <c r="M369">
        <v>36</v>
      </c>
      <c r="N369" s="3">
        <v>1036.08</v>
      </c>
      <c r="O369" s="1" t="s">
        <v>71</v>
      </c>
    </row>
    <row r="370" spans="1:15" ht="15">
      <c r="A370" s="6" t="s">
        <v>140</v>
      </c>
      <c r="B370">
        <v>126</v>
      </c>
      <c r="C370" s="2">
        <v>43144</v>
      </c>
      <c r="D370" t="str">
        <f>"004801763576"</f>
        <v>004801763576</v>
      </c>
      <c r="E370" s="2">
        <v>43074</v>
      </c>
      <c r="F370">
        <v>0</v>
      </c>
      <c r="G370" s="2">
        <v>43145</v>
      </c>
      <c r="H370" s="2">
        <v>43109</v>
      </c>
      <c r="I370" t="s">
        <v>16</v>
      </c>
      <c r="J370">
        <v>4.88</v>
      </c>
      <c r="K370">
        <v>0.88</v>
      </c>
      <c r="L370">
        <v>4</v>
      </c>
      <c r="M370">
        <v>36</v>
      </c>
      <c r="N370">
        <v>144</v>
      </c>
      <c r="O370" s="1" t="s">
        <v>71</v>
      </c>
    </row>
    <row r="371" spans="1:15" ht="15">
      <c r="A371" s="6" t="s">
        <v>140</v>
      </c>
      <c r="B371">
        <v>122</v>
      </c>
      <c r="C371" s="2">
        <v>43144</v>
      </c>
      <c r="D371" t="str">
        <f>"004801708188"</f>
        <v>004801708188</v>
      </c>
      <c r="E371" s="2">
        <v>43074</v>
      </c>
      <c r="F371">
        <v>0</v>
      </c>
      <c r="G371" s="2">
        <v>43145</v>
      </c>
      <c r="H371" s="2">
        <v>43109</v>
      </c>
      <c r="I371" t="s">
        <v>16</v>
      </c>
      <c r="J371">
        <v>93.48</v>
      </c>
      <c r="K371">
        <v>16.86</v>
      </c>
      <c r="L371">
        <v>76.62</v>
      </c>
      <c r="M371">
        <v>36</v>
      </c>
      <c r="N371" s="3">
        <v>2758.32</v>
      </c>
      <c r="O371" s="1" t="s">
        <v>71</v>
      </c>
    </row>
    <row r="372" spans="1:15" ht="15">
      <c r="A372" s="6" t="s">
        <v>140</v>
      </c>
      <c r="B372">
        <v>123</v>
      </c>
      <c r="C372" s="2">
        <v>43144</v>
      </c>
      <c r="D372" t="str">
        <f>"004801708557"</f>
        <v>004801708557</v>
      </c>
      <c r="E372" s="2">
        <v>43074</v>
      </c>
      <c r="F372">
        <v>0</v>
      </c>
      <c r="G372" s="2">
        <v>43145</v>
      </c>
      <c r="H372" s="2">
        <v>43109</v>
      </c>
      <c r="I372" t="s">
        <v>16</v>
      </c>
      <c r="J372">
        <v>7.43</v>
      </c>
      <c r="K372">
        <v>1.34</v>
      </c>
      <c r="L372">
        <v>6.09</v>
      </c>
      <c r="M372">
        <v>36</v>
      </c>
      <c r="N372">
        <v>219.24</v>
      </c>
      <c r="O372" s="1" t="s">
        <v>71</v>
      </c>
    </row>
    <row r="373" spans="1:15" ht="15">
      <c r="A373" s="6" t="s">
        <v>140</v>
      </c>
      <c r="B373">
        <v>123</v>
      </c>
      <c r="C373" s="2">
        <v>43144</v>
      </c>
      <c r="D373" t="str">
        <f>"004801708215"</f>
        <v>004801708215</v>
      </c>
      <c r="E373" s="2">
        <v>43074</v>
      </c>
      <c r="F373">
        <v>0</v>
      </c>
      <c r="G373" s="2">
        <v>43145</v>
      </c>
      <c r="H373" s="2">
        <v>43109</v>
      </c>
      <c r="I373" t="s">
        <v>16</v>
      </c>
      <c r="J373">
        <v>55.86</v>
      </c>
      <c r="K373">
        <v>10.07</v>
      </c>
      <c r="L373">
        <v>45.79</v>
      </c>
      <c r="M373">
        <v>36</v>
      </c>
      <c r="N373" s="3">
        <v>1648.44</v>
      </c>
      <c r="O373" s="1" t="s">
        <v>71</v>
      </c>
    </row>
    <row r="374" spans="1:15" ht="15">
      <c r="A374" s="6" t="s">
        <v>140</v>
      </c>
      <c r="B374">
        <v>125</v>
      </c>
      <c r="C374" s="2">
        <v>43144</v>
      </c>
      <c r="D374" t="str">
        <f>"004801763566"</f>
        <v>004801763566</v>
      </c>
      <c r="E374" s="2">
        <v>43074</v>
      </c>
      <c r="F374">
        <v>0</v>
      </c>
      <c r="G374" s="2">
        <v>43145</v>
      </c>
      <c r="H374" s="2">
        <v>43109</v>
      </c>
      <c r="I374" t="s">
        <v>16</v>
      </c>
      <c r="J374">
        <v>116.01</v>
      </c>
      <c r="K374">
        <v>20.92</v>
      </c>
      <c r="L374">
        <v>95.09</v>
      </c>
      <c r="M374">
        <v>36</v>
      </c>
      <c r="N374" s="3">
        <v>3423.24</v>
      </c>
      <c r="O374" s="1" t="s">
        <v>71</v>
      </c>
    </row>
    <row r="375" spans="1:15" ht="15">
      <c r="A375" s="6" t="s">
        <v>140</v>
      </c>
      <c r="B375">
        <v>123</v>
      </c>
      <c r="C375" s="2">
        <v>43144</v>
      </c>
      <c r="D375" t="str">
        <f>"004801708551"</f>
        <v>004801708551</v>
      </c>
      <c r="E375" s="2">
        <v>43074</v>
      </c>
      <c r="F375">
        <v>0</v>
      </c>
      <c r="G375" s="2">
        <v>43145</v>
      </c>
      <c r="H375" s="2">
        <v>43109</v>
      </c>
      <c r="I375" t="s">
        <v>16</v>
      </c>
      <c r="J375">
        <v>52.46</v>
      </c>
      <c r="K375">
        <v>9.46</v>
      </c>
      <c r="L375">
        <v>43</v>
      </c>
      <c r="M375">
        <v>36</v>
      </c>
      <c r="N375" s="3">
        <v>1548</v>
      </c>
      <c r="O375" s="1" t="s">
        <v>71</v>
      </c>
    </row>
    <row r="376" spans="1:15" ht="15">
      <c r="A376" s="6" t="s">
        <v>140</v>
      </c>
      <c r="B376">
        <v>123</v>
      </c>
      <c r="C376" s="2">
        <v>43144</v>
      </c>
      <c r="D376" t="str">
        <f>"004801708218"</f>
        <v>004801708218</v>
      </c>
      <c r="E376" s="2">
        <v>43074</v>
      </c>
      <c r="F376">
        <v>0</v>
      </c>
      <c r="G376" s="2">
        <v>43145</v>
      </c>
      <c r="H376" s="2">
        <v>43109</v>
      </c>
      <c r="I376" t="s">
        <v>16</v>
      </c>
      <c r="J376">
        <v>153.12</v>
      </c>
      <c r="K376">
        <v>27.61</v>
      </c>
      <c r="L376">
        <v>125.51</v>
      </c>
      <c r="M376">
        <v>36</v>
      </c>
      <c r="N376" s="3">
        <v>4518.36</v>
      </c>
      <c r="O376" s="1" t="s">
        <v>71</v>
      </c>
    </row>
    <row r="377" spans="1:15" ht="15">
      <c r="A377" s="6" t="s">
        <v>140</v>
      </c>
      <c r="B377">
        <v>125</v>
      </c>
      <c r="C377" s="2">
        <v>43144</v>
      </c>
      <c r="D377" t="str">
        <f>"004801708547"</f>
        <v>004801708547</v>
      </c>
      <c r="E377" s="2">
        <v>43074</v>
      </c>
      <c r="F377">
        <v>0</v>
      </c>
      <c r="G377" s="2">
        <v>43145</v>
      </c>
      <c r="H377" s="2">
        <v>43109</v>
      </c>
      <c r="I377" t="s">
        <v>16</v>
      </c>
      <c r="J377">
        <v>15.34</v>
      </c>
      <c r="K377">
        <v>2.77</v>
      </c>
      <c r="L377">
        <v>12.57</v>
      </c>
      <c r="M377">
        <v>36</v>
      </c>
      <c r="N377">
        <v>452.52</v>
      </c>
      <c r="O377" s="1" t="s">
        <v>71</v>
      </c>
    </row>
    <row r="378" spans="1:15" ht="15">
      <c r="A378" s="6" t="s">
        <v>140</v>
      </c>
      <c r="B378">
        <v>123</v>
      </c>
      <c r="C378" s="2">
        <v>43144</v>
      </c>
      <c r="D378" t="str">
        <f>"004801708224"</f>
        <v>004801708224</v>
      </c>
      <c r="E378" s="2">
        <v>43074</v>
      </c>
      <c r="F378">
        <v>0</v>
      </c>
      <c r="G378" s="2">
        <v>43145</v>
      </c>
      <c r="H378" s="2">
        <v>43109</v>
      </c>
      <c r="I378" t="s">
        <v>16</v>
      </c>
      <c r="J378">
        <v>893.37</v>
      </c>
      <c r="K378">
        <v>161.1</v>
      </c>
      <c r="L378">
        <v>732.27</v>
      </c>
      <c r="M378">
        <v>36</v>
      </c>
      <c r="N378" s="3">
        <v>26361.72</v>
      </c>
      <c r="O378" s="1" t="s">
        <v>71</v>
      </c>
    </row>
    <row r="379" spans="1:15" ht="15">
      <c r="A379" s="6" t="s">
        <v>140</v>
      </c>
      <c r="B379">
        <v>122</v>
      </c>
      <c r="C379" s="2">
        <v>43144</v>
      </c>
      <c r="D379" t="str">
        <f>"004801708214"</f>
        <v>004801708214</v>
      </c>
      <c r="E379" s="2">
        <v>43074</v>
      </c>
      <c r="F379">
        <v>0</v>
      </c>
      <c r="G379" s="2">
        <v>43145</v>
      </c>
      <c r="H379" s="2">
        <v>43109</v>
      </c>
      <c r="I379" t="s">
        <v>16</v>
      </c>
      <c r="J379">
        <v>47.69</v>
      </c>
      <c r="K379">
        <v>8.6</v>
      </c>
      <c r="L379">
        <v>39.09</v>
      </c>
      <c r="M379">
        <v>36</v>
      </c>
      <c r="N379" s="3">
        <v>1407.24</v>
      </c>
      <c r="O379" s="1" t="s">
        <v>71</v>
      </c>
    </row>
    <row r="380" spans="1:15" ht="15">
      <c r="A380" s="6" t="s">
        <v>140</v>
      </c>
      <c r="B380">
        <v>122</v>
      </c>
      <c r="C380" s="2">
        <v>43144</v>
      </c>
      <c r="D380" t="str">
        <f>"004801708197"</f>
        <v>004801708197</v>
      </c>
      <c r="E380" s="2">
        <v>43074</v>
      </c>
      <c r="F380">
        <v>0</v>
      </c>
      <c r="G380" s="2">
        <v>43145</v>
      </c>
      <c r="H380" s="2">
        <v>43109</v>
      </c>
      <c r="I380" t="s">
        <v>16</v>
      </c>
      <c r="J380">
        <v>134.03</v>
      </c>
      <c r="K380">
        <v>24.17</v>
      </c>
      <c r="L380">
        <v>109.86</v>
      </c>
      <c r="M380">
        <v>36</v>
      </c>
      <c r="N380" s="3">
        <v>3954.96</v>
      </c>
      <c r="O380" s="1" t="s">
        <v>71</v>
      </c>
    </row>
    <row r="381" spans="1:15" ht="15">
      <c r="A381" s="6" t="s">
        <v>140</v>
      </c>
      <c r="B381">
        <v>122</v>
      </c>
      <c r="C381" s="2">
        <v>43144</v>
      </c>
      <c r="D381" t="str">
        <f>"004801708189"</f>
        <v>004801708189</v>
      </c>
      <c r="E381" s="2">
        <v>43074</v>
      </c>
      <c r="F381">
        <v>0</v>
      </c>
      <c r="G381" s="2">
        <v>43145</v>
      </c>
      <c r="H381" s="2">
        <v>43109</v>
      </c>
      <c r="I381" t="s">
        <v>16</v>
      </c>
      <c r="J381">
        <v>118.61</v>
      </c>
      <c r="K381">
        <v>21.39</v>
      </c>
      <c r="L381">
        <v>97.22</v>
      </c>
      <c r="M381">
        <v>36</v>
      </c>
      <c r="N381" s="3">
        <v>3499.92</v>
      </c>
      <c r="O381" s="1" t="s">
        <v>71</v>
      </c>
    </row>
    <row r="382" spans="1:15" ht="15">
      <c r="A382" s="6" t="s">
        <v>140</v>
      </c>
      <c r="B382">
        <v>122</v>
      </c>
      <c r="C382" s="2">
        <v>43144</v>
      </c>
      <c r="D382" t="str">
        <f>"004801708201"</f>
        <v>004801708201</v>
      </c>
      <c r="E382" s="2">
        <v>43074</v>
      </c>
      <c r="F382">
        <v>0</v>
      </c>
      <c r="G382" s="2">
        <v>43145</v>
      </c>
      <c r="H382" s="2">
        <v>43109</v>
      </c>
      <c r="I382" t="s">
        <v>16</v>
      </c>
      <c r="J382">
        <v>96.11</v>
      </c>
      <c r="K382">
        <v>17.33</v>
      </c>
      <c r="L382">
        <v>78.78</v>
      </c>
      <c r="M382">
        <v>36</v>
      </c>
      <c r="N382" s="3">
        <v>2836.08</v>
      </c>
      <c r="O382" s="1" t="s">
        <v>71</v>
      </c>
    </row>
    <row r="383" spans="1:15" ht="15">
      <c r="A383" s="6" t="s">
        <v>140</v>
      </c>
      <c r="B383">
        <v>123</v>
      </c>
      <c r="C383" s="2">
        <v>43144</v>
      </c>
      <c r="D383" t="str">
        <f>"004801708216"</f>
        <v>004801708216</v>
      </c>
      <c r="E383" s="2">
        <v>43074</v>
      </c>
      <c r="F383">
        <v>0</v>
      </c>
      <c r="G383" s="2">
        <v>43145</v>
      </c>
      <c r="H383" s="2">
        <v>43109</v>
      </c>
      <c r="I383" t="s">
        <v>16</v>
      </c>
      <c r="J383">
        <v>103.03</v>
      </c>
      <c r="K383">
        <v>18.58</v>
      </c>
      <c r="L383">
        <v>84.45</v>
      </c>
      <c r="M383">
        <v>36</v>
      </c>
      <c r="N383" s="3">
        <v>3040.2</v>
      </c>
      <c r="O383" s="1" t="s">
        <v>71</v>
      </c>
    </row>
    <row r="384" spans="1:15" ht="15">
      <c r="A384" s="6" t="s">
        <v>140</v>
      </c>
      <c r="B384">
        <v>125</v>
      </c>
      <c r="C384" s="2">
        <v>43144</v>
      </c>
      <c r="D384" t="str">
        <f>"004801708228"</f>
        <v>004801708228</v>
      </c>
      <c r="E384" s="2">
        <v>43074</v>
      </c>
      <c r="F384">
        <v>0</v>
      </c>
      <c r="G384" s="2">
        <v>43145</v>
      </c>
      <c r="H384" s="2">
        <v>43109</v>
      </c>
      <c r="I384" t="s">
        <v>16</v>
      </c>
      <c r="J384">
        <v>43.69</v>
      </c>
      <c r="K384">
        <v>7.88</v>
      </c>
      <c r="L384">
        <v>35.81</v>
      </c>
      <c r="M384">
        <v>36</v>
      </c>
      <c r="N384" s="3">
        <v>1289.16</v>
      </c>
      <c r="O384" s="1" t="s">
        <v>71</v>
      </c>
    </row>
    <row r="385" spans="1:15" ht="15">
      <c r="A385" s="6" t="s">
        <v>140</v>
      </c>
      <c r="B385">
        <v>122</v>
      </c>
      <c r="C385" s="2">
        <v>43144</v>
      </c>
      <c r="D385" t="str">
        <f>"004801708191"</f>
        <v>004801708191</v>
      </c>
      <c r="E385" s="2">
        <v>43074</v>
      </c>
      <c r="F385">
        <v>0</v>
      </c>
      <c r="G385" s="2">
        <v>43145</v>
      </c>
      <c r="H385" s="2">
        <v>43109</v>
      </c>
      <c r="I385" t="s">
        <v>16</v>
      </c>
      <c r="J385">
        <v>133.47</v>
      </c>
      <c r="K385">
        <v>24.07</v>
      </c>
      <c r="L385">
        <v>109.4</v>
      </c>
      <c r="M385">
        <v>36</v>
      </c>
      <c r="N385" s="3">
        <v>3938.4</v>
      </c>
      <c r="O385" s="1" t="s">
        <v>71</v>
      </c>
    </row>
    <row r="386" spans="1:15" ht="15">
      <c r="A386" s="6" t="s">
        <v>140</v>
      </c>
      <c r="B386">
        <v>121</v>
      </c>
      <c r="C386" s="2">
        <v>43144</v>
      </c>
      <c r="D386" t="str">
        <f>"004801763569"</f>
        <v>004801763569</v>
      </c>
      <c r="E386" s="2">
        <v>43074</v>
      </c>
      <c r="F386">
        <v>0</v>
      </c>
      <c r="G386" s="2">
        <v>43145</v>
      </c>
      <c r="H386" s="2">
        <v>43109</v>
      </c>
      <c r="I386" t="s">
        <v>16</v>
      </c>
      <c r="J386">
        <v>63.18</v>
      </c>
      <c r="K386">
        <v>11.39</v>
      </c>
      <c r="L386">
        <v>51.79</v>
      </c>
      <c r="M386">
        <v>36</v>
      </c>
      <c r="N386" s="3">
        <v>1864.44</v>
      </c>
      <c r="O386" s="1" t="s">
        <v>71</v>
      </c>
    </row>
    <row r="387" spans="1:15" ht="15">
      <c r="A387" s="6" t="s">
        <v>140</v>
      </c>
      <c r="B387">
        <v>123</v>
      </c>
      <c r="C387" s="2">
        <v>43144</v>
      </c>
      <c r="D387" t="str">
        <f>"004801708560"</f>
        <v>004801708560</v>
      </c>
      <c r="E387" s="2">
        <v>43074</v>
      </c>
      <c r="F387">
        <v>0</v>
      </c>
      <c r="G387" s="2">
        <v>43145</v>
      </c>
      <c r="H387" s="2">
        <v>43109</v>
      </c>
      <c r="I387" t="s">
        <v>16</v>
      </c>
      <c r="J387">
        <v>130.76</v>
      </c>
      <c r="K387">
        <v>23.58</v>
      </c>
      <c r="L387">
        <v>107.18</v>
      </c>
      <c r="M387">
        <v>36</v>
      </c>
      <c r="N387" s="3">
        <v>3858.48</v>
      </c>
      <c r="O387" s="1" t="s">
        <v>71</v>
      </c>
    </row>
    <row r="388" spans="1:15" ht="15">
      <c r="A388" s="6" t="s">
        <v>140</v>
      </c>
      <c r="B388">
        <v>125</v>
      </c>
      <c r="C388" s="2">
        <v>43144</v>
      </c>
      <c r="D388" t="str">
        <f>"004801713358"</f>
        <v>004801713358</v>
      </c>
      <c r="E388" s="2">
        <v>43074</v>
      </c>
      <c r="F388">
        <v>0</v>
      </c>
      <c r="G388" s="2">
        <v>43145</v>
      </c>
      <c r="H388" s="2">
        <v>43109</v>
      </c>
      <c r="I388" t="s">
        <v>16</v>
      </c>
      <c r="J388">
        <v>146</v>
      </c>
      <c r="K388">
        <v>26.33</v>
      </c>
      <c r="L388">
        <v>119.67</v>
      </c>
      <c r="M388">
        <v>36</v>
      </c>
      <c r="N388" s="3">
        <v>4308.12</v>
      </c>
      <c r="O388" s="1" t="s">
        <v>71</v>
      </c>
    </row>
    <row r="389" spans="1:15" ht="15">
      <c r="A389" s="6" t="s">
        <v>140</v>
      </c>
      <c r="B389">
        <v>122</v>
      </c>
      <c r="C389" s="2">
        <v>43144</v>
      </c>
      <c r="D389" t="str">
        <f>"004801708200"</f>
        <v>004801708200</v>
      </c>
      <c r="E389" s="2">
        <v>43074</v>
      </c>
      <c r="F389">
        <v>0</v>
      </c>
      <c r="G389" s="2">
        <v>43145</v>
      </c>
      <c r="H389" s="2">
        <v>43109</v>
      </c>
      <c r="I389" t="s">
        <v>16</v>
      </c>
      <c r="J389">
        <v>419.42</v>
      </c>
      <c r="K389">
        <v>75.63</v>
      </c>
      <c r="L389">
        <v>343.79</v>
      </c>
      <c r="M389">
        <v>36</v>
      </c>
      <c r="N389" s="3">
        <v>12376.44</v>
      </c>
      <c r="O389" s="1" t="s">
        <v>71</v>
      </c>
    </row>
    <row r="390" spans="1:15" ht="15">
      <c r="A390" s="6" t="s">
        <v>140</v>
      </c>
      <c r="B390">
        <v>122</v>
      </c>
      <c r="C390" s="2">
        <v>43144</v>
      </c>
      <c r="D390" t="str">
        <f>"004801708196"</f>
        <v>004801708196</v>
      </c>
      <c r="E390" s="2">
        <v>43074</v>
      </c>
      <c r="F390">
        <v>0</v>
      </c>
      <c r="G390" s="2">
        <v>43145</v>
      </c>
      <c r="H390" s="2">
        <v>43109</v>
      </c>
      <c r="I390" t="s">
        <v>16</v>
      </c>
      <c r="J390">
        <v>247.99</v>
      </c>
      <c r="K390">
        <v>44.72</v>
      </c>
      <c r="L390">
        <v>203.27</v>
      </c>
      <c r="M390">
        <v>36</v>
      </c>
      <c r="N390" s="3">
        <v>7317.72</v>
      </c>
      <c r="O390" s="1" t="s">
        <v>71</v>
      </c>
    </row>
    <row r="391" spans="1:15" ht="15">
      <c r="A391" s="6" t="s">
        <v>140</v>
      </c>
      <c r="B391">
        <v>125</v>
      </c>
      <c r="C391" s="2">
        <v>43144</v>
      </c>
      <c r="D391" t="str">
        <f>"004801763568"</f>
        <v>004801763568</v>
      </c>
      <c r="E391" s="2">
        <v>43074</v>
      </c>
      <c r="F391">
        <v>0</v>
      </c>
      <c r="G391" s="2">
        <v>43145</v>
      </c>
      <c r="H391" s="2">
        <v>43109</v>
      </c>
      <c r="I391" t="s">
        <v>16</v>
      </c>
      <c r="J391">
        <v>24.97</v>
      </c>
      <c r="K391">
        <v>4.5</v>
      </c>
      <c r="L391">
        <v>20.47</v>
      </c>
      <c r="M391">
        <v>36</v>
      </c>
      <c r="N391">
        <v>736.92</v>
      </c>
      <c r="O391" s="1" t="s">
        <v>71</v>
      </c>
    </row>
    <row r="392" spans="1:15" ht="15">
      <c r="A392" s="6" t="s">
        <v>140</v>
      </c>
      <c r="B392">
        <v>123</v>
      </c>
      <c r="C392" s="2">
        <v>43144</v>
      </c>
      <c r="D392" t="str">
        <f>"004801708552"</f>
        <v>004801708552</v>
      </c>
      <c r="E392" s="2">
        <v>43074</v>
      </c>
      <c r="F392">
        <v>0</v>
      </c>
      <c r="G392" s="2">
        <v>43145</v>
      </c>
      <c r="H392" s="2">
        <v>43109</v>
      </c>
      <c r="I392" t="s">
        <v>16</v>
      </c>
      <c r="J392">
        <v>10.5</v>
      </c>
      <c r="K392">
        <v>1.89</v>
      </c>
      <c r="L392">
        <v>8.61</v>
      </c>
      <c r="M392">
        <v>36</v>
      </c>
      <c r="N392">
        <v>309.96</v>
      </c>
      <c r="O392" s="1" t="s">
        <v>71</v>
      </c>
    </row>
    <row r="393" spans="1:15" ht="15">
      <c r="A393" s="6" t="s">
        <v>140</v>
      </c>
      <c r="B393">
        <v>122</v>
      </c>
      <c r="C393" s="2">
        <v>43144</v>
      </c>
      <c r="D393" t="str">
        <f>"004801708205"</f>
        <v>004801708205</v>
      </c>
      <c r="E393" s="2">
        <v>43074</v>
      </c>
      <c r="F393">
        <v>0</v>
      </c>
      <c r="G393" s="2">
        <v>43145</v>
      </c>
      <c r="H393" s="2">
        <v>43109</v>
      </c>
      <c r="I393" t="s">
        <v>16</v>
      </c>
      <c r="J393">
        <v>376.37</v>
      </c>
      <c r="K393">
        <v>67.87</v>
      </c>
      <c r="L393">
        <v>308.5</v>
      </c>
      <c r="M393">
        <v>36</v>
      </c>
      <c r="N393" s="3">
        <v>11106</v>
      </c>
      <c r="O393" s="1" t="s">
        <v>71</v>
      </c>
    </row>
    <row r="394" spans="1:15" ht="15">
      <c r="A394" s="6" t="s">
        <v>140</v>
      </c>
      <c r="B394">
        <v>122</v>
      </c>
      <c r="C394" s="2">
        <v>43144</v>
      </c>
      <c r="D394" t="str">
        <f>"004801708192"</f>
        <v>004801708192</v>
      </c>
      <c r="E394" s="2">
        <v>43074</v>
      </c>
      <c r="F394">
        <v>0</v>
      </c>
      <c r="G394" s="2">
        <v>43145</v>
      </c>
      <c r="H394" s="2">
        <v>43109</v>
      </c>
      <c r="I394" t="s">
        <v>16</v>
      </c>
      <c r="J394">
        <v>65.67</v>
      </c>
      <c r="K394">
        <v>11.84</v>
      </c>
      <c r="L394">
        <v>53.83</v>
      </c>
      <c r="M394">
        <v>36</v>
      </c>
      <c r="N394" s="3">
        <v>1937.88</v>
      </c>
      <c r="O394" s="1" t="s">
        <v>71</v>
      </c>
    </row>
    <row r="395" spans="1:15" ht="15">
      <c r="A395" s="6" t="s">
        <v>140</v>
      </c>
      <c r="B395">
        <v>122</v>
      </c>
      <c r="C395" s="2">
        <v>43144</v>
      </c>
      <c r="D395" t="str">
        <f>"004801708206"</f>
        <v>004801708206</v>
      </c>
      <c r="E395" s="2">
        <v>43074</v>
      </c>
      <c r="F395">
        <v>0</v>
      </c>
      <c r="G395" s="2">
        <v>43145</v>
      </c>
      <c r="H395" s="2">
        <v>43109</v>
      </c>
      <c r="I395" t="s">
        <v>16</v>
      </c>
      <c r="J395">
        <v>53.85</v>
      </c>
      <c r="K395">
        <v>9.71</v>
      </c>
      <c r="L395">
        <v>44.14</v>
      </c>
      <c r="M395">
        <v>36</v>
      </c>
      <c r="N395" s="3">
        <v>1589.04</v>
      </c>
      <c r="O395" s="1" t="s">
        <v>71</v>
      </c>
    </row>
    <row r="396" spans="1:15" ht="15">
      <c r="A396" s="6" t="s">
        <v>140</v>
      </c>
      <c r="B396">
        <v>122</v>
      </c>
      <c r="C396" s="2">
        <v>43144</v>
      </c>
      <c r="D396" t="str">
        <f>"004801708209"</f>
        <v>004801708209</v>
      </c>
      <c r="E396" s="2">
        <v>43074</v>
      </c>
      <c r="F396">
        <v>0</v>
      </c>
      <c r="G396" s="2">
        <v>43145</v>
      </c>
      <c r="H396" s="2">
        <v>43109</v>
      </c>
      <c r="I396" t="s">
        <v>16</v>
      </c>
      <c r="J396">
        <v>290.88</v>
      </c>
      <c r="K396">
        <v>52.45</v>
      </c>
      <c r="L396">
        <v>238.43</v>
      </c>
      <c r="M396">
        <v>36</v>
      </c>
      <c r="N396" s="3">
        <v>8583.48</v>
      </c>
      <c r="O396" s="1" t="s">
        <v>71</v>
      </c>
    </row>
    <row r="397" spans="1:15" ht="15">
      <c r="A397" s="6" t="s">
        <v>140</v>
      </c>
      <c r="B397">
        <v>123</v>
      </c>
      <c r="C397" s="2">
        <v>43144</v>
      </c>
      <c r="D397" t="str">
        <f>"004801708556"</f>
        <v>004801708556</v>
      </c>
      <c r="E397" s="2">
        <v>43074</v>
      </c>
      <c r="F397">
        <v>0</v>
      </c>
      <c r="G397" s="2">
        <v>43145</v>
      </c>
      <c r="H397" s="2">
        <v>43109</v>
      </c>
      <c r="I397" t="s">
        <v>16</v>
      </c>
      <c r="J397">
        <v>2.23</v>
      </c>
      <c r="K397">
        <v>0.4</v>
      </c>
      <c r="L397">
        <v>1.83</v>
      </c>
      <c r="M397">
        <v>36</v>
      </c>
      <c r="N397">
        <v>65.88</v>
      </c>
      <c r="O397" s="1" t="s">
        <v>71</v>
      </c>
    </row>
    <row r="398" spans="1:15" ht="15">
      <c r="A398" s="6" t="s">
        <v>140</v>
      </c>
      <c r="B398">
        <v>122</v>
      </c>
      <c r="C398" s="2">
        <v>43144</v>
      </c>
      <c r="D398" t="str">
        <f>"004801708193"</f>
        <v>004801708193</v>
      </c>
      <c r="E398" s="2">
        <v>43074</v>
      </c>
      <c r="F398">
        <v>0</v>
      </c>
      <c r="G398" s="2">
        <v>43145</v>
      </c>
      <c r="H398" s="2">
        <v>43109</v>
      </c>
      <c r="I398" t="s">
        <v>16</v>
      </c>
      <c r="J398">
        <v>41.36</v>
      </c>
      <c r="K398">
        <v>7.46</v>
      </c>
      <c r="L398">
        <v>33.9</v>
      </c>
      <c r="M398">
        <v>36</v>
      </c>
      <c r="N398" s="3">
        <v>1220.4</v>
      </c>
      <c r="O398" s="1" t="s">
        <v>71</v>
      </c>
    </row>
    <row r="399" spans="1:15" ht="15">
      <c r="A399" s="6" t="s">
        <v>140</v>
      </c>
      <c r="B399">
        <v>123</v>
      </c>
      <c r="C399" s="2">
        <v>43144</v>
      </c>
      <c r="D399" t="str">
        <f>"004801708223"</f>
        <v>004801708223</v>
      </c>
      <c r="E399" s="2">
        <v>43074</v>
      </c>
      <c r="F399">
        <v>0</v>
      </c>
      <c r="G399" s="2">
        <v>43145</v>
      </c>
      <c r="H399" s="2">
        <v>43109</v>
      </c>
      <c r="I399" t="s">
        <v>16</v>
      </c>
      <c r="J399">
        <v>158.53</v>
      </c>
      <c r="K399">
        <v>28.59</v>
      </c>
      <c r="L399">
        <v>129.94</v>
      </c>
      <c r="M399">
        <v>36</v>
      </c>
      <c r="N399" s="3">
        <v>4677.84</v>
      </c>
      <c r="O399" s="1" t="s">
        <v>71</v>
      </c>
    </row>
    <row r="400" spans="1:15" ht="15">
      <c r="A400" s="6" t="s">
        <v>140</v>
      </c>
      <c r="B400">
        <v>122</v>
      </c>
      <c r="C400" s="2">
        <v>43144</v>
      </c>
      <c r="D400" t="str">
        <f>"004801708195"</f>
        <v>004801708195</v>
      </c>
      <c r="E400" s="2">
        <v>43074</v>
      </c>
      <c r="F400">
        <v>0</v>
      </c>
      <c r="G400" s="2">
        <v>43145</v>
      </c>
      <c r="H400" s="2">
        <v>43109</v>
      </c>
      <c r="I400" t="s">
        <v>16</v>
      </c>
      <c r="J400">
        <v>144.22</v>
      </c>
      <c r="K400">
        <v>26.01</v>
      </c>
      <c r="L400">
        <v>118.21</v>
      </c>
      <c r="M400">
        <v>36</v>
      </c>
      <c r="N400" s="3">
        <v>4255.56</v>
      </c>
      <c r="O400" s="1" t="s">
        <v>71</v>
      </c>
    </row>
    <row r="401" spans="1:15" ht="15">
      <c r="A401" s="6" t="s">
        <v>140</v>
      </c>
      <c r="B401">
        <v>122</v>
      </c>
      <c r="C401" s="2">
        <v>43144</v>
      </c>
      <c r="D401" t="str">
        <f>"004801708207"</f>
        <v>004801708207</v>
      </c>
      <c r="E401" s="2">
        <v>43074</v>
      </c>
      <c r="F401">
        <v>0</v>
      </c>
      <c r="G401" s="2">
        <v>43145</v>
      </c>
      <c r="H401" s="2">
        <v>43109</v>
      </c>
      <c r="I401" t="s">
        <v>16</v>
      </c>
      <c r="J401">
        <v>217.27</v>
      </c>
      <c r="K401">
        <v>39.18</v>
      </c>
      <c r="L401">
        <v>178.09</v>
      </c>
      <c r="M401">
        <v>36</v>
      </c>
      <c r="N401" s="3">
        <v>6411.24</v>
      </c>
      <c r="O401" s="1" t="s">
        <v>71</v>
      </c>
    </row>
    <row r="402" spans="1:15" ht="15">
      <c r="A402" s="6" t="s">
        <v>112</v>
      </c>
      <c r="B402">
        <v>73</v>
      </c>
      <c r="C402" s="2">
        <v>43133</v>
      </c>
      <c r="D402" t="str">
        <f>"171902252588"</f>
        <v>171902252588</v>
      </c>
      <c r="E402" s="2">
        <v>43067</v>
      </c>
      <c r="F402">
        <v>0</v>
      </c>
      <c r="G402" s="2">
        <v>43133</v>
      </c>
      <c r="H402" s="2">
        <v>43097</v>
      </c>
      <c r="I402" t="s">
        <v>16</v>
      </c>
      <c r="J402">
        <v>6.2</v>
      </c>
      <c r="K402">
        <v>1.12</v>
      </c>
      <c r="L402">
        <v>5.08</v>
      </c>
      <c r="M402">
        <v>36</v>
      </c>
      <c r="N402">
        <v>182.88</v>
      </c>
      <c r="O402" s="1" t="s">
        <v>113</v>
      </c>
    </row>
    <row r="403" spans="1:15" ht="15">
      <c r="A403" s="6" t="s">
        <v>112</v>
      </c>
      <c r="B403">
        <v>71</v>
      </c>
      <c r="C403" s="2">
        <v>43133</v>
      </c>
      <c r="D403" t="str">
        <f>"171902252585"</f>
        <v>171902252585</v>
      </c>
      <c r="E403" s="2">
        <v>43067</v>
      </c>
      <c r="F403">
        <v>0</v>
      </c>
      <c r="G403" s="2">
        <v>43133</v>
      </c>
      <c r="H403" s="2">
        <v>43097</v>
      </c>
      <c r="I403" t="s">
        <v>16</v>
      </c>
      <c r="J403">
        <v>35.45</v>
      </c>
      <c r="K403">
        <v>6.4</v>
      </c>
      <c r="L403">
        <v>29.05</v>
      </c>
      <c r="M403">
        <v>36</v>
      </c>
      <c r="N403" s="3">
        <v>1045.8</v>
      </c>
      <c r="O403" s="1" t="s">
        <v>113</v>
      </c>
    </row>
    <row r="404" spans="1:15" ht="15">
      <c r="A404" s="6" t="s">
        <v>112</v>
      </c>
      <c r="B404">
        <v>69</v>
      </c>
      <c r="C404" s="2">
        <v>43133</v>
      </c>
      <c r="D404" t="str">
        <f>"171902252592"</f>
        <v>171902252592</v>
      </c>
      <c r="E404" s="2">
        <v>43067</v>
      </c>
      <c r="F404">
        <v>0</v>
      </c>
      <c r="G404" s="2">
        <v>43133</v>
      </c>
      <c r="H404" s="2">
        <v>43097</v>
      </c>
      <c r="I404" t="s">
        <v>16</v>
      </c>
      <c r="J404">
        <v>34.4</v>
      </c>
      <c r="K404">
        <v>6.2</v>
      </c>
      <c r="L404">
        <v>28.2</v>
      </c>
      <c r="M404">
        <v>36</v>
      </c>
      <c r="N404" s="3">
        <v>1015.2</v>
      </c>
      <c r="O404" s="1" t="s">
        <v>113</v>
      </c>
    </row>
    <row r="405" spans="1:15" ht="15">
      <c r="A405" s="6" t="s">
        <v>112</v>
      </c>
      <c r="B405">
        <v>74</v>
      </c>
      <c r="C405" s="2">
        <v>43133</v>
      </c>
      <c r="D405" t="str">
        <f>"171902252584"</f>
        <v>171902252584</v>
      </c>
      <c r="E405" s="2">
        <v>43067</v>
      </c>
      <c r="F405">
        <v>0</v>
      </c>
      <c r="G405" s="2">
        <v>43133</v>
      </c>
      <c r="H405" s="2">
        <v>43097</v>
      </c>
      <c r="I405" t="s">
        <v>16</v>
      </c>
      <c r="J405">
        <v>16.7</v>
      </c>
      <c r="K405">
        <v>3.01</v>
      </c>
      <c r="L405">
        <v>13.69</v>
      </c>
      <c r="M405">
        <v>36</v>
      </c>
      <c r="N405">
        <v>492.84</v>
      </c>
      <c r="O405" s="1" t="s">
        <v>113</v>
      </c>
    </row>
    <row r="406" spans="1:15" ht="15">
      <c r="A406" s="6" t="s">
        <v>112</v>
      </c>
      <c r="B406">
        <v>68</v>
      </c>
      <c r="C406" s="2">
        <v>43133</v>
      </c>
      <c r="D406" t="str">
        <f>"171902252586"</f>
        <v>171902252586</v>
      </c>
      <c r="E406" s="2">
        <v>43067</v>
      </c>
      <c r="F406">
        <v>0</v>
      </c>
      <c r="G406" s="2">
        <v>43133</v>
      </c>
      <c r="H406" s="2">
        <v>43097</v>
      </c>
      <c r="I406" t="s">
        <v>16</v>
      </c>
      <c r="J406">
        <v>8.28</v>
      </c>
      <c r="K406">
        <v>1.49</v>
      </c>
      <c r="L406">
        <v>6.79</v>
      </c>
      <c r="M406">
        <v>36</v>
      </c>
      <c r="N406">
        <v>244.44</v>
      </c>
      <c r="O406" s="1" t="s">
        <v>113</v>
      </c>
    </row>
    <row r="407" spans="1:15" ht="15">
      <c r="A407" s="6" t="s">
        <v>112</v>
      </c>
      <c r="B407">
        <v>72</v>
      </c>
      <c r="C407" s="2">
        <v>43133</v>
      </c>
      <c r="D407" t="str">
        <f>"171902252587"</f>
        <v>171902252587</v>
      </c>
      <c r="E407" s="2">
        <v>43067</v>
      </c>
      <c r="F407">
        <v>0</v>
      </c>
      <c r="G407" s="2">
        <v>43133</v>
      </c>
      <c r="H407" s="2">
        <v>43097</v>
      </c>
      <c r="I407" t="s">
        <v>16</v>
      </c>
      <c r="J407">
        <v>12.49</v>
      </c>
      <c r="K407">
        <v>2.25</v>
      </c>
      <c r="L407">
        <v>10.24</v>
      </c>
      <c r="M407">
        <v>36</v>
      </c>
      <c r="N407">
        <v>368.64</v>
      </c>
      <c r="O407" s="1" t="s">
        <v>113</v>
      </c>
    </row>
    <row r="408" spans="1:15" ht="15">
      <c r="A408" s="6" t="s">
        <v>112</v>
      </c>
      <c r="B408">
        <v>70</v>
      </c>
      <c r="C408" s="2">
        <v>43133</v>
      </c>
      <c r="D408" t="str">
        <f>"171902252589"</f>
        <v>171902252589</v>
      </c>
      <c r="E408" s="2">
        <v>43067</v>
      </c>
      <c r="F408">
        <v>0</v>
      </c>
      <c r="G408" s="2">
        <v>43133</v>
      </c>
      <c r="H408" s="2">
        <v>43097</v>
      </c>
      <c r="I408" t="s">
        <v>16</v>
      </c>
      <c r="J408">
        <v>9.44</v>
      </c>
      <c r="K408">
        <v>0.88</v>
      </c>
      <c r="L408">
        <v>8.56</v>
      </c>
      <c r="M408">
        <v>36</v>
      </c>
      <c r="N408">
        <v>308.16</v>
      </c>
      <c r="O408" s="1" t="s">
        <v>113</v>
      </c>
    </row>
    <row r="409" spans="1:15" ht="15">
      <c r="A409" s="6" t="s">
        <v>152</v>
      </c>
      <c r="B409">
        <v>89</v>
      </c>
      <c r="C409" s="2">
        <v>43138</v>
      </c>
      <c r="D409" t="s">
        <v>153</v>
      </c>
      <c r="E409" s="2">
        <v>43069</v>
      </c>
      <c r="F409">
        <v>0</v>
      </c>
      <c r="G409" s="2">
        <v>43138</v>
      </c>
      <c r="H409" s="2">
        <v>43104</v>
      </c>
      <c r="I409" t="s">
        <v>16</v>
      </c>
      <c r="J409">
        <v>112.44</v>
      </c>
      <c r="K409">
        <v>20.28</v>
      </c>
      <c r="L409">
        <v>92.16</v>
      </c>
      <c r="M409">
        <v>34</v>
      </c>
      <c r="N409" s="3">
        <v>3133.44</v>
      </c>
      <c r="O409" s="1" t="s">
        <v>115</v>
      </c>
    </row>
    <row r="410" spans="1:15" ht="15">
      <c r="A410" s="6" t="s">
        <v>152</v>
      </c>
      <c r="B410">
        <v>90</v>
      </c>
      <c r="C410" s="2">
        <v>43138</v>
      </c>
      <c r="D410" t="s">
        <v>153</v>
      </c>
      <c r="E410" s="2">
        <v>43069</v>
      </c>
      <c r="F410">
        <v>0</v>
      </c>
      <c r="G410" s="2">
        <v>43138</v>
      </c>
      <c r="H410" s="2">
        <v>43104</v>
      </c>
      <c r="I410" t="s">
        <v>16</v>
      </c>
      <c r="J410">
        <v>131.56</v>
      </c>
      <c r="K410">
        <v>23.72</v>
      </c>
      <c r="L410">
        <v>107.84</v>
      </c>
      <c r="M410">
        <v>34</v>
      </c>
      <c r="N410" s="3">
        <v>3666.56</v>
      </c>
      <c r="O410" s="1" t="s">
        <v>115</v>
      </c>
    </row>
    <row r="411" spans="1:15" ht="28.8">
      <c r="A411" s="6" t="s">
        <v>120</v>
      </c>
      <c r="B411">
        <v>79</v>
      </c>
      <c r="C411" s="2">
        <v>43138</v>
      </c>
      <c r="D411" t="str">
        <f>"305"</f>
        <v>305</v>
      </c>
      <c r="E411" s="2">
        <v>43069</v>
      </c>
      <c r="F411">
        <v>0</v>
      </c>
      <c r="G411" s="2">
        <v>43138</v>
      </c>
      <c r="H411" s="2">
        <v>43105</v>
      </c>
      <c r="I411" t="s">
        <v>16</v>
      </c>
      <c r="J411">
        <v>602.58</v>
      </c>
      <c r="K411">
        <v>0</v>
      </c>
      <c r="L411">
        <v>602.58</v>
      </c>
      <c r="M411">
        <v>33</v>
      </c>
      <c r="N411" s="3">
        <v>19885.14</v>
      </c>
      <c r="O411" s="1" t="s">
        <v>118</v>
      </c>
    </row>
    <row r="412" spans="1:15" ht="15">
      <c r="A412" s="6" t="s">
        <v>154</v>
      </c>
      <c r="B412">
        <v>357</v>
      </c>
      <c r="C412" s="2">
        <v>43185</v>
      </c>
      <c r="D412" t="s">
        <v>155</v>
      </c>
      <c r="E412" s="2">
        <v>43100</v>
      </c>
      <c r="F412">
        <v>0</v>
      </c>
      <c r="G412" s="2">
        <v>43186</v>
      </c>
      <c r="H412" s="2">
        <v>43156</v>
      </c>
      <c r="I412" t="s">
        <v>16</v>
      </c>
      <c r="J412">
        <v>492.18</v>
      </c>
      <c r="K412">
        <v>88.75</v>
      </c>
      <c r="L412">
        <v>403.43</v>
      </c>
      <c r="M412">
        <v>30</v>
      </c>
      <c r="N412" s="3">
        <v>12102.9</v>
      </c>
      <c r="O412" s="1" t="s">
        <v>54</v>
      </c>
    </row>
    <row r="413" spans="1:15" ht="15">
      <c r="A413" s="6" t="s">
        <v>154</v>
      </c>
      <c r="B413">
        <v>304</v>
      </c>
      <c r="C413" s="2">
        <v>43182</v>
      </c>
      <c r="D413" t="s">
        <v>156</v>
      </c>
      <c r="E413" s="2">
        <v>43100</v>
      </c>
      <c r="F413">
        <v>0</v>
      </c>
      <c r="G413" s="2">
        <v>43186</v>
      </c>
      <c r="H413" s="2">
        <v>43156</v>
      </c>
      <c r="I413" t="s">
        <v>16</v>
      </c>
      <c r="J413">
        <v>121</v>
      </c>
      <c r="K413">
        <v>21.82</v>
      </c>
      <c r="L413">
        <v>99.18</v>
      </c>
      <c r="M413">
        <v>30</v>
      </c>
      <c r="N413" s="3">
        <v>2975.4</v>
      </c>
      <c r="O413" s="1" t="s">
        <v>54</v>
      </c>
    </row>
    <row r="414" spans="1:15" ht="15">
      <c r="A414" s="6" t="s">
        <v>157</v>
      </c>
      <c r="B414">
        <v>91</v>
      </c>
      <c r="C414" s="2">
        <v>43138</v>
      </c>
      <c r="D414" t="str">
        <f>"123"</f>
        <v>123</v>
      </c>
      <c r="E414" s="2">
        <v>43059</v>
      </c>
      <c r="F414">
        <v>0</v>
      </c>
      <c r="G414" s="2">
        <v>43138</v>
      </c>
      <c r="H414" s="2">
        <v>43110</v>
      </c>
      <c r="I414" t="s">
        <v>16</v>
      </c>
      <c r="J414">
        <v>307.44</v>
      </c>
      <c r="K414">
        <v>55.44</v>
      </c>
      <c r="L414">
        <v>252</v>
      </c>
      <c r="M414">
        <v>28</v>
      </c>
      <c r="N414" s="3">
        <v>7056</v>
      </c>
      <c r="O414" s="1" t="s">
        <v>105</v>
      </c>
    </row>
    <row r="415" spans="1:15" ht="15">
      <c r="A415" s="6" t="s">
        <v>158</v>
      </c>
      <c r="B415">
        <v>111</v>
      </c>
      <c r="C415" s="2">
        <v>43139</v>
      </c>
      <c r="D415" t="s">
        <v>159</v>
      </c>
      <c r="E415" s="2">
        <v>43081</v>
      </c>
      <c r="F415">
        <v>0</v>
      </c>
      <c r="G415" s="2">
        <v>43139</v>
      </c>
      <c r="H415" s="2">
        <v>43111</v>
      </c>
      <c r="I415" t="s">
        <v>16</v>
      </c>
      <c r="J415" s="3">
        <v>33275</v>
      </c>
      <c r="K415" s="3">
        <v>3025</v>
      </c>
      <c r="L415" s="3">
        <v>30250</v>
      </c>
      <c r="M415">
        <v>28</v>
      </c>
      <c r="N415" s="3">
        <v>847000</v>
      </c>
      <c r="O415" s="1" t="s">
        <v>32</v>
      </c>
    </row>
    <row r="416" spans="1:15" ht="15">
      <c r="A416" s="6" t="s">
        <v>160</v>
      </c>
      <c r="B416">
        <v>359</v>
      </c>
      <c r="C416" s="2">
        <v>43186</v>
      </c>
      <c r="D416" t="s">
        <v>161</v>
      </c>
      <c r="E416" s="2">
        <v>43100</v>
      </c>
      <c r="F416">
        <v>0</v>
      </c>
      <c r="G416" s="2">
        <v>43186</v>
      </c>
      <c r="H416" s="2">
        <v>43159</v>
      </c>
      <c r="I416" t="s">
        <v>16</v>
      </c>
      <c r="J416" s="3">
        <v>1076.91</v>
      </c>
      <c r="K416">
        <v>194.2</v>
      </c>
      <c r="L416">
        <v>882.71</v>
      </c>
      <c r="M416">
        <v>27</v>
      </c>
      <c r="N416" s="3">
        <v>23833.17</v>
      </c>
      <c r="O416" s="1" t="s">
        <v>162</v>
      </c>
    </row>
    <row r="417" spans="1:15" ht="28.8">
      <c r="A417" s="6" t="s">
        <v>120</v>
      </c>
      <c r="B417">
        <v>305</v>
      </c>
      <c r="C417" s="2">
        <v>43182</v>
      </c>
      <c r="D417" t="str">
        <f>"334"</f>
        <v>334</v>
      </c>
      <c r="E417" s="2">
        <v>43099</v>
      </c>
      <c r="F417">
        <v>0</v>
      </c>
      <c r="G417" s="2">
        <v>43186</v>
      </c>
      <c r="H417" s="2">
        <v>43159</v>
      </c>
      <c r="I417" t="s">
        <v>16</v>
      </c>
      <c r="J417" s="3">
        <v>5155.93</v>
      </c>
      <c r="K417">
        <v>929.76</v>
      </c>
      <c r="L417" s="3">
        <v>4226.17</v>
      </c>
      <c r="M417">
        <v>27</v>
      </c>
      <c r="N417" s="3">
        <v>114106.59</v>
      </c>
      <c r="O417" s="1" t="s">
        <v>118</v>
      </c>
    </row>
    <row r="418" spans="1:15" ht="15">
      <c r="A418" s="6" t="s">
        <v>61</v>
      </c>
      <c r="B418">
        <v>402</v>
      </c>
      <c r="C418" s="2">
        <v>43186</v>
      </c>
      <c r="D418" t="s">
        <v>163</v>
      </c>
      <c r="E418" s="2">
        <v>43069</v>
      </c>
      <c r="F418">
        <v>0</v>
      </c>
      <c r="G418" s="2">
        <v>43186</v>
      </c>
      <c r="H418" s="2">
        <v>43159</v>
      </c>
      <c r="I418" t="s">
        <v>16</v>
      </c>
      <c r="J418">
        <v>320</v>
      </c>
      <c r="K418">
        <v>15.24</v>
      </c>
      <c r="L418">
        <v>304.76</v>
      </c>
      <c r="M418">
        <v>27</v>
      </c>
      <c r="N418" s="3">
        <v>8228.52</v>
      </c>
      <c r="O418" s="1" t="s">
        <v>71</v>
      </c>
    </row>
    <row r="419" spans="1:15" ht="15">
      <c r="A419" s="6" t="s">
        <v>164</v>
      </c>
      <c r="B419">
        <v>376</v>
      </c>
      <c r="C419" s="2">
        <v>43186</v>
      </c>
      <c r="D419" t="s">
        <v>165</v>
      </c>
      <c r="E419" s="2">
        <v>43100</v>
      </c>
      <c r="F419">
        <v>0</v>
      </c>
      <c r="G419" s="2">
        <v>43186</v>
      </c>
      <c r="H419" s="2">
        <v>43159</v>
      </c>
      <c r="I419" t="s">
        <v>16</v>
      </c>
      <c r="J419" s="3">
        <v>2584.8</v>
      </c>
      <c r="K419">
        <v>466.12</v>
      </c>
      <c r="L419" s="3">
        <v>2118.68</v>
      </c>
      <c r="M419">
        <v>27</v>
      </c>
      <c r="N419" s="3">
        <v>57204.36</v>
      </c>
      <c r="O419" s="1" t="s">
        <v>166</v>
      </c>
    </row>
    <row r="420" spans="1:15" ht="15">
      <c r="A420" s="6" t="s">
        <v>164</v>
      </c>
      <c r="B420">
        <v>375</v>
      </c>
      <c r="C420" s="2">
        <v>43186</v>
      </c>
      <c r="D420" t="s">
        <v>165</v>
      </c>
      <c r="E420" s="2">
        <v>43100</v>
      </c>
      <c r="F420">
        <v>0</v>
      </c>
      <c r="G420" s="2">
        <v>43186</v>
      </c>
      <c r="H420" s="2">
        <v>43159</v>
      </c>
      <c r="I420" t="s">
        <v>16</v>
      </c>
      <c r="J420">
        <v>500</v>
      </c>
      <c r="K420">
        <v>90.16</v>
      </c>
      <c r="L420">
        <v>409.84</v>
      </c>
      <c r="M420">
        <v>27</v>
      </c>
      <c r="N420" s="3">
        <v>11065.68</v>
      </c>
      <c r="O420" s="1" t="s">
        <v>166</v>
      </c>
    </row>
    <row r="421" spans="1:15" ht="15">
      <c r="A421" s="6" t="s">
        <v>164</v>
      </c>
      <c r="B421">
        <v>374</v>
      </c>
      <c r="C421" s="2">
        <v>43186</v>
      </c>
      <c r="D421" t="s">
        <v>165</v>
      </c>
      <c r="E421" s="2">
        <v>43100</v>
      </c>
      <c r="F421">
        <v>0</v>
      </c>
      <c r="G421" s="2">
        <v>43186</v>
      </c>
      <c r="H421" s="2">
        <v>43159</v>
      </c>
      <c r="I421" t="s">
        <v>16</v>
      </c>
      <c r="J421">
        <v>319</v>
      </c>
      <c r="K421">
        <v>57.52</v>
      </c>
      <c r="L421">
        <v>261.48</v>
      </c>
      <c r="M421">
        <v>27</v>
      </c>
      <c r="N421" s="3">
        <v>7059.96</v>
      </c>
      <c r="O421" s="1" t="s">
        <v>166</v>
      </c>
    </row>
    <row r="422" spans="1:15" ht="15">
      <c r="A422" s="6" t="s">
        <v>167</v>
      </c>
      <c r="B422">
        <v>380</v>
      </c>
      <c r="C422" s="2">
        <v>43186</v>
      </c>
      <c r="D422" t="s">
        <v>168</v>
      </c>
      <c r="E422" s="2">
        <v>43100</v>
      </c>
      <c r="F422">
        <v>0</v>
      </c>
      <c r="G422" s="2">
        <v>43186</v>
      </c>
      <c r="H422" s="2">
        <v>43159</v>
      </c>
      <c r="I422" t="s">
        <v>16</v>
      </c>
      <c r="J422" s="3">
        <v>1355.8</v>
      </c>
      <c r="K422">
        <v>244.49</v>
      </c>
      <c r="L422" s="3">
        <v>1111.31</v>
      </c>
      <c r="M422">
        <v>27</v>
      </c>
      <c r="N422" s="3">
        <v>30005.37</v>
      </c>
      <c r="O422" s="1" t="s">
        <v>143</v>
      </c>
    </row>
    <row r="423" spans="1:15" ht="15">
      <c r="A423" s="6" t="s">
        <v>167</v>
      </c>
      <c r="B423">
        <v>377</v>
      </c>
      <c r="C423" s="2">
        <v>43186</v>
      </c>
      <c r="D423" t="s">
        <v>169</v>
      </c>
      <c r="E423" s="2">
        <v>43100</v>
      </c>
      <c r="F423">
        <v>0</v>
      </c>
      <c r="G423" s="2">
        <v>43186</v>
      </c>
      <c r="H423" s="2">
        <v>43159</v>
      </c>
      <c r="I423" t="s">
        <v>16</v>
      </c>
      <c r="J423">
        <v>139.92</v>
      </c>
      <c r="K423">
        <v>25.23</v>
      </c>
      <c r="L423">
        <v>114.69</v>
      </c>
      <c r="M423">
        <v>27</v>
      </c>
      <c r="N423" s="3">
        <v>3096.63</v>
      </c>
      <c r="O423" s="1" t="s">
        <v>143</v>
      </c>
    </row>
    <row r="424" spans="1:15" ht="15">
      <c r="A424" s="6" t="s">
        <v>167</v>
      </c>
      <c r="B424">
        <v>379</v>
      </c>
      <c r="C424" s="2">
        <v>43186</v>
      </c>
      <c r="D424" t="s">
        <v>170</v>
      </c>
      <c r="E424" s="2">
        <v>43100</v>
      </c>
      <c r="F424">
        <v>0</v>
      </c>
      <c r="G424" s="2">
        <v>43186</v>
      </c>
      <c r="H424" s="2">
        <v>43159</v>
      </c>
      <c r="I424" t="s">
        <v>16</v>
      </c>
      <c r="J424" s="3">
        <v>1085.91</v>
      </c>
      <c r="K424">
        <v>195.82</v>
      </c>
      <c r="L424">
        <v>890.09</v>
      </c>
      <c r="M424">
        <v>27</v>
      </c>
      <c r="N424" s="3">
        <v>24032.43</v>
      </c>
      <c r="O424" s="1" t="s">
        <v>143</v>
      </c>
    </row>
    <row r="425" spans="1:15" ht="15">
      <c r="A425" s="6" t="s">
        <v>167</v>
      </c>
      <c r="B425">
        <v>381</v>
      </c>
      <c r="C425" s="2">
        <v>43186</v>
      </c>
      <c r="D425" t="s">
        <v>168</v>
      </c>
      <c r="E425" s="2">
        <v>43100</v>
      </c>
      <c r="F425">
        <v>0</v>
      </c>
      <c r="G425" s="2">
        <v>43186</v>
      </c>
      <c r="H425" s="2">
        <v>43159</v>
      </c>
      <c r="I425" t="s">
        <v>16</v>
      </c>
      <c r="J425" s="3">
        <v>1835.36</v>
      </c>
      <c r="K425">
        <v>330.97</v>
      </c>
      <c r="L425" s="3">
        <v>1504.39</v>
      </c>
      <c r="M425">
        <v>27</v>
      </c>
      <c r="N425" s="3">
        <v>40618.53</v>
      </c>
      <c r="O425" s="1" t="s">
        <v>143</v>
      </c>
    </row>
    <row r="426" spans="1:15" ht="15">
      <c r="A426" s="6" t="s">
        <v>167</v>
      </c>
      <c r="B426">
        <v>381</v>
      </c>
      <c r="C426" s="2">
        <v>43186</v>
      </c>
      <c r="D426" t="s">
        <v>168</v>
      </c>
      <c r="E426" s="2">
        <v>43100</v>
      </c>
      <c r="F426">
        <v>0</v>
      </c>
      <c r="G426" s="2">
        <v>43186</v>
      </c>
      <c r="H426" s="2">
        <v>43159</v>
      </c>
      <c r="I426" t="s">
        <v>16</v>
      </c>
      <c r="J426" s="3">
        <v>1513.42</v>
      </c>
      <c r="K426">
        <v>272.91</v>
      </c>
      <c r="L426" s="3">
        <v>1240.51</v>
      </c>
      <c r="M426">
        <v>27</v>
      </c>
      <c r="N426" s="3">
        <v>33493.77</v>
      </c>
      <c r="O426" s="1" t="s">
        <v>143</v>
      </c>
    </row>
    <row r="427" spans="1:15" ht="15">
      <c r="A427" s="6" t="s">
        <v>167</v>
      </c>
      <c r="B427">
        <v>378</v>
      </c>
      <c r="C427" s="2">
        <v>43186</v>
      </c>
      <c r="D427" t="s">
        <v>169</v>
      </c>
      <c r="E427" s="2">
        <v>43100</v>
      </c>
      <c r="F427">
        <v>0</v>
      </c>
      <c r="G427" s="2">
        <v>43186</v>
      </c>
      <c r="H427" s="2">
        <v>43159</v>
      </c>
      <c r="I427" t="s">
        <v>16</v>
      </c>
      <c r="J427">
        <v>45.69</v>
      </c>
      <c r="K427">
        <v>8.24</v>
      </c>
      <c r="L427">
        <v>37.45</v>
      </c>
      <c r="M427">
        <v>27</v>
      </c>
      <c r="N427" s="3">
        <v>1011.15</v>
      </c>
      <c r="O427" s="1" t="s">
        <v>143</v>
      </c>
    </row>
    <row r="428" spans="1:15" ht="15">
      <c r="A428" s="6" t="s">
        <v>157</v>
      </c>
      <c r="B428">
        <v>172</v>
      </c>
      <c r="C428" s="2">
        <v>43151</v>
      </c>
      <c r="D428" t="str">
        <f>"149"</f>
        <v>149</v>
      </c>
      <c r="E428" s="2">
        <v>43096</v>
      </c>
      <c r="F428">
        <v>0</v>
      </c>
      <c r="G428" s="2">
        <v>43152</v>
      </c>
      <c r="H428" s="2">
        <v>43126</v>
      </c>
      <c r="I428" t="s">
        <v>16</v>
      </c>
      <c r="J428">
        <v>182.06</v>
      </c>
      <c r="K428">
        <v>31.24</v>
      </c>
      <c r="L428">
        <v>150.82</v>
      </c>
      <c r="M428">
        <v>26</v>
      </c>
      <c r="N428" s="3">
        <v>3921.32</v>
      </c>
      <c r="O428" s="1" t="s">
        <v>105</v>
      </c>
    </row>
    <row r="429" spans="1:15" ht="15">
      <c r="A429" s="6" t="s">
        <v>157</v>
      </c>
      <c r="B429">
        <v>171</v>
      </c>
      <c r="C429" s="2">
        <v>43151</v>
      </c>
      <c r="D429" t="str">
        <f>"149"</f>
        <v>149</v>
      </c>
      <c r="E429" s="2">
        <v>43096</v>
      </c>
      <c r="F429">
        <v>0</v>
      </c>
      <c r="G429" s="2">
        <v>43152</v>
      </c>
      <c r="H429" s="2">
        <v>43126</v>
      </c>
      <c r="I429" t="s">
        <v>16</v>
      </c>
      <c r="J429">
        <v>300</v>
      </c>
      <c r="K429">
        <v>51.49</v>
      </c>
      <c r="L429">
        <v>248.51</v>
      </c>
      <c r="M429">
        <v>26</v>
      </c>
      <c r="N429" s="3">
        <v>6461.26</v>
      </c>
      <c r="O429" s="1" t="s">
        <v>105</v>
      </c>
    </row>
    <row r="430" spans="1:15" ht="28.8">
      <c r="A430" s="6" t="s">
        <v>128</v>
      </c>
      <c r="B430">
        <v>81</v>
      </c>
      <c r="C430" s="2">
        <v>43138</v>
      </c>
      <c r="D430" t="s">
        <v>171</v>
      </c>
      <c r="E430" s="2">
        <v>43069</v>
      </c>
      <c r="F430">
        <v>0</v>
      </c>
      <c r="G430" s="2">
        <v>43138</v>
      </c>
      <c r="H430" s="2">
        <v>43112</v>
      </c>
      <c r="I430" t="s">
        <v>16</v>
      </c>
      <c r="J430">
        <v>339.99</v>
      </c>
      <c r="K430">
        <v>61.31</v>
      </c>
      <c r="L430">
        <v>278.68</v>
      </c>
      <c r="M430">
        <v>26</v>
      </c>
      <c r="N430" s="3">
        <v>7245.68</v>
      </c>
      <c r="O430" s="1" t="s">
        <v>130</v>
      </c>
    </row>
    <row r="431" spans="1:15" ht="15">
      <c r="A431" s="6" t="s">
        <v>172</v>
      </c>
      <c r="B431">
        <v>201</v>
      </c>
      <c r="C431" s="2">
        <v>43152</v>
      </c>
      <c r="D431" t="s">
        <v>173</v>
      </c>
      <c r="E431" s="2">
        <v>43097</v>
      </c>
      <c r="F431">
        <v>0</v>
      </c>
      <c r="G431" s="2">
        <v>43152</v>
      </c>
      <c r="H431" s="2">
        <v>43127</v>
      </c>
      <c r="I431" t="s">
        <v>16</v>
      </c>
      <c r="J431" s="3">
        <v>5553.5</v>
      </c>
      <c r="K431">
        <v>504.86</v>
      </c>
      <c r="L431" s="3">
        <v>5048.64</v>
      </c>
      <c r="M431">
        <v>25</v>
      </c>
      <c r="N431" s="3">
        <v>126216</v>
      </c>
      <c r="O431" s="1" t="s">
        <v>174</v>
      </c>
    </row>
    <row r="432" spans="1:15" ht="15">
      <c r="A432" s="6" t="s">
        <v>175</v>
      </c>
      <c r="B432">
        <v>174</v>
      </c>
      <c r="C432" s="2">
        <v>43151</v>
      </c>
      <c r="D432" t="s">
        <v>176</v>
      </c>
      <c r="E432" s="2">
        <v>43021</v>
      </c>
      <c r="F432">
        <v>0</v>
      </c>
      <c r="G432" s="2">
        <v>43152</v>
      </c>
      <c r="H432" s="2">
        <v>43127</v>
      </c>
      <c r="I432" t="s">
        <v>16</v>
      </c>
      <c r="J432" s="3">
        <v>1217</v>
      </c>
      <c r="K432">
        <v>0</v>
      </c>
      <c r="L432" s="3">
        <v>1217</v>
      </c>
      <c r="M432">
        <v>25</v>
      </c>
      <c r="N432" s="3">
        <v>30425</v>
      </c>
      <c r="O432" s="1" t="s">
        <v>50</v>
      </c>
    </row>
    <row r="433" spans="1:15" ht="15">
      <c r="A433" s="6" t="s">
        <v>175</v>
      </c>
      <c r="B433">
        <v>175</v>
      </c>
      <c r="C433" s="2">
        <v>43151</v>
      </c>
      <c r="D433" t="s">
        <v>176</v>
      </c>
      <c r="E433" s="2">
        <v>43021</v>
      </c>
      <c r="F433">
        <v>0</v>
      </c>
      <c r="G433" s="2">
        <v>43152</v>
      </c>
      <c r="H433" s="2">
        <v>43127</v>
      </c>
      <c r="I433" t="s">
        <v>16</v>
      </c>
      <c r="J433">
        <v>332</v>
      </c>
      <c r="K433">
        <v>0</v>
      </c>
      <c r="L433">
        <v>332</v>
      </c>
      <c r="M433">
        <v>25</v>
      </c>
      <c r="N433" s="3">
        <v>8300</v>
      </c>
      <c r="O433" s="1" t="s">
        <v>50</v>
      </c>
    </row>
    <row r="434" spans="1:15" ht="15">
      <c r="A434" s="6" t="s">
        <v>175</v>
      </c>
      <c r="B434">
        <v>173</v>
      </c>
      <c r="C434" s="2">
        <v>43151</v>
      </c>
      <c r="D434" t="s">
        <v>135</v>
      </c>
      <c r="E434" s="2">
        <v>42835</v>
      </c>
      <c r="F434">
        <v>0</v>
      </c>
      <c r="G434" s="2">
        <v>43152</v>
      </c>
      <c r="H434" s="2">
        <v>43127</v>
      </c>
      <c r="I434" t="s">
        <v>16</v>
      </c>
      <c r="J434">
        <v>124</v>
      </c>
      <c r="K434">
        <v>0</v>
      </c>
      <c r="L434">
        <v>124</v>
      </c>
      <c r="M434">
        <v>25</v>
      </c>
      <c r="N434" s="3">
        <v>3100</v>
      </c>
      <c r="O434" s="1" t="s">
        <v>50</v>
      </c>
    </row>
    <row r="435" spans="1:15" ht="15">
      <c r="A435" s="6" t="s">
        <v>175</v>
      </c>
      <c r="B435">
        <v>176</v>
      </c>
      <c r="C435" s="2">
        <v>43151</v>
      </c>
      <c r="D435" t="s">
        <v>176</v>
      </c>
      <c r="E435" s="2">
        <v>43021</v>
      </c>
      <c r="F435">
        <v>0</v>
      </c>
      <c r="G435" s="2">
        <v>43152</v>
      </c>
      <c r="H435" s="2">
        <v>43127</v>
      </c>
      <c r="I435" t="s">
        <v>16</v>
      </c>
      <c r="J435">
        <v>57</v>
      </c>
      <c r="K435">
        <v>0</v>
      </c>
      <c r="L435">
        <v>57</v>
      </c>
      <c r="M435">
        <v>25</v>
      </c>
      <c r="N435" s="3">
        <v>1425</v>
      </c>
      <c r="O435" s="1" t="s">
        <v>50</v>
      </c>
    </row>
    <row r="436" spans="1:15" ht="15">
      <c r="A436" s="6" t="s">
        <v>109</v>
      </c>
      <c r="B436">
        <v>3</v>
      </c>
      <c r="C436" s="2">
        <v>43123</v>
      </c>
      <c r="D436" t="s">
        <v>177</v>
      </c>
      <c r="E436" s="2">
        <v>43008</v>
      </c>
      <c r="F436">
        <v>0</v>
      </c>
      <c r="G436" s="2">
        <v>43123</v>
      </c>
      <c r="H436" s="2">
        <v>43098</v>
      </c>
      <c r="I436" t="s">
        <v>16</v>
      </c>
      <c r="J436" s="3">
        <v>5155.65</v>
      </c>
      <c r="K436">
        <v>468.69</v>
      </c>
      <c r="L436" s="3">
        <v>4686.96</v>
      </c>
      <c r="M436">
        <v>25</v>
      </c>
      <c r="N436" s="3">
        <v>117174</v>
      </c>
      <c r="O436" s="1" t="s">
        <v>111</v>
      </c>
    </row>
    <row r="437" spans="1:15" ht="15">
      <c r="A437" s="6" t="s">
        <v>109</v>
      </c>
      <c r="B437">
        <v>3</v>
      </c>
      <c r="C437" s="2">
        <v>43123</v>
      </c>
      <c r="D437" t="s">
        <v>177</v>
      </c>
      <c r="E437" s="2">
        <v>43008</v>
      </c>
      <c r="F437">
        <v>0</v>
      </c>
      <c r="G437" s="2">
        <v>43123</v>
      </c>
      <c r="H437" s="2">
        <v>43098</v>
      </c>
      <c r="I437" t="s">
        <v>16</v>
      </c>
      <c r="J437" s="3">
        <v>5449.37</v>
      </c>
      <c r="K437">
        <v>495.4</v>
      </c>
      <c r="L437" s="3">
        <v>4953.97</v>
      </c>
      <c r="M437">
        <v>25</v>
      </c>
      <c r="N437" s="3">
        <v>123849.25</v>
      </c>
      <c r="O437" s="1" t="s">
        <v>111</v>
      </c>
    </row>
    <row r="438" spans="1:15" ht="15">
      <c r="A438" s="6" t="s">
        <v>178</v>
      </c>
      <c r="B438">
        <v>200</v>
      </c>
      <c r="C438" s="2">
        <v>43152</v>
      </c>
      <c r="D438" t="s">
        <v>85</v>
      </c>
      <c r="E438" s="2">
        <v>43092</v>
      </c>
      <c r="F438">
        <v>0</v>
      </c>
      <c r="G438" s="2">
        <v>43152</v>
      </c>
      <c r="H438" s="2">
        <v>43127</v>
      </c>
      <c r="I438" t="s">
        <v>16</v>
      </c>
      <c r="J438">
        <v>937.66</v>
      </c>
      <c r="K438">
        <v>169.09</v>
      </c>
      <c r="L438">
        <v>768.57</v>
      </c>
      <c r="M438">
        <v>25</v>
      </c>
      <c r="N438" s="3">
        <v>19214.25</v>
      </c>
      <c r="O438" s="1" t="s">
        <v>143</v>
      </c>
    </row>
    <row r="439" spans="1:15" ht="28.8">
      <c r="A439" s="6" t="s">
        <v>179</v>
      </c>
      <c r="B439">
        <v>178</v>
      </c>
      <c r="C439" s="2">
        <v>43151</v>
      </c>
      <c r="D439" t="str">
        <f>"0006800366"</f>
        <v>0006800366</v>
      </c>
      <c r="E439" s="2">
        <v>43096</v>
      </c>
      <c r="F439">
        <v>0</v>
      </c>
      <c r="G439" s="2">
        <v>43152</v>
      </c>
      <c r="H439" s="2">
        <v>43128</v>
      </c>
      <c r="I439" t="s">
        <v>16</v>
      </c>
      <c r="J439">
        <v>121</v>
      </c>
      <c r="K439">
        <v>0</v>
      </c>
      <c r="L439">
        <v>121</v>
      </c>
      <c r="M439">
        <v>24</v>
      </c>
      <c r="N439" s="3">
        <v>2904</v>
      </c>
      <c r="O439" s="1" t="s">
        <v>180</v>
      </c>
    </row>
    <row r="440" spans="1:15" ht="15">
      <c r="A440" s="6" t="s">
        <v>172</v>
      </c>
      <c r="B440">
        <v>77</v>
      </c>
      <c r="C440" s="2">
        <v>43133</v>
      </c>
      <c r="D440" t="s">
        <v>181</v>
      </c>
      <c r="E440" s="2">
        <v>43076</v>
      </c>
      <c r="F440">
        <v>0</v>
      </c>
      <c r="G440" s="2">
        <v>43133</v>
      </c>
      <c r="H440" s="2">
        <v>43110</v>
      </c>
      <c r="I440" t="s">
        <v>16</v>
      </c>
      <c r="J440" s="3">
        <v>7653.89</v>
      </c>
      <c r="K440">
        <v>695.81</v>
      </c>
      <c r="L440" s="3">
        <v>6958.08</v>
      </c>
      <c r="M440">
        <v>23</v>
      </c>
      <c r="N440" s="3">
        <v>160035.84</v>
      </c>
      <c r="O440" s="1" t="s">
        <v>174</v>
      </c>
    </row>
    <row r="441" spans="1:15" ht="15">
      <c r="A441" s="6" t="s">
        <v>109</v>
      </c>
      <c r="B441">
        <v>2</v>
      </c>
      <c r="C441" s="2">
        <v>43123</v>
      </c>
      <c r="D441" t="s">
        <v>182</v>
      </c>
      <c r="E441" s="2">
        <v>43007</v>
      </c>
      <c r="F441">
        <v>0</v>
      </c>
      <c r="G441" s="2">
        <v>43123</v>
      </c>
      <c r="H441" s="2">
        <v>43100</v>
      </c>
      <c r="I441" t="s">
        <v>16</v>
      </c>
      <c r="J441" s="3">
        <v>36685.39</v>
      </c>
      <c r="K441" s="3">
        <v>3335.04</v>
      </c>
      <c r="L441" s="3">
        <v>33350.35</v>
      </c>
      <c r="M441">
        <v>23</v>
      </c>
      <c r="N441" s="3">
        <v>767058.05</v>
      </c>
      <c r="O441" s="1" t="s">
        <v>111</v>
      </c>
    </row>
    <row r="442" spans="1:15" ht="28.8">
      <c r="A442" s="6" t="s">
        <v>183</v>
      </c>
      <c r="B442">
        <v>405</v>
      </c>
      <c r="C442" s="2">
        <v>43186</v>
      </c>
      <c r="D442" t="s">
        <v>135</v>
      </c>
      <c r="E442" s="2">
        <v>43133</v>
      </c>
      <c r="F442">
        <v>0</v>
      </c>
      <c r="G442" s="2">
        <v>43186</v>
      </c>
      <c r="H442" s="2">
        <v>43163</v>
      </c>
      <c r="I442" t="s">
        <v>18</v>
      </c>
      <c r="J442">
        <v>50</v>
      </c>
      <c r="K442">
        <v>0</v>
      </c>
      <c r="L442">
        <v>50</v>
      </c>
      <c r="M442">
        <v>23</v>
      </c>
      <c r="N442" s="3">
        <v>1150</v>
      </c>
      <c r="O442" s="1" t="s">
        <v>63</v>
      </c>
    </row>
    <row r="443" spans="1:15" ht="15">
      <c r="A443" s="6" t="s">
        <v>148</v>
      </c>
      <c r="B443">
        <v>75</v>
      </c>
      <c r="C443" s="2">
        <v>43133</v>
      </c>
      <c r="D443" t="s">
        <v>184</v>
      </c>
      <c r="E443" s="2">
        <v>43081</v>
      </c>
      <c r="F443">
        <v>0</v>
      </c>
      <c r="G443" s="2">
        <v>43133</v>
      </c>
      <c r="H443" s="2">
        <v>43112</v>
      </c>
      <c r="I443" t="s">
        <v>16</v>
      </c>
      <c r="J443">
        <v>175.36</v>
      </c>
      <c r="K443">
        <v>31.62</v>
      </c>
      <c r="L443">
        <v>143.74</v>
      </c>
      <c r="M443">
        <v>21</v>
      </c>
      <c r="N443" s="3">
        <v>3018.54</v>
      </c>
      <c r="O443" s="1" t="s">
        <v>54</v>
      </c>
    </row>
    <row r="444" spans="1:15" ht="28.8">
      <c r="A444" s="6" t="s">
        <v>185</v>
      </c>
      <c r="B444">
        <v>177</v>
      </c>
      <c r="C444" s="2">
        <v>43151</v>
      </c>
      <c r="D444" t="s">
        <v>186</v>
      </c>
      <c r="E444" s="2">
        <v>43098</v>
      </c>
      <c r="F444">
        <v>0</v>
      </c>
      <c r="G444" s="2">
        <v>43152</v>
      </c>
      <c r="H444" s="2">
        <v>43131</v>
      </c>
      <c r="I444" t="s">
        <v>16</v>
      </c>
      <c r="J444">
        <v>199.15</v>
      </c>
      <c r="K444">
        <v>35.91</v>
      </c>
      <c r="L444">
        <v>163.24</v>
      </c>
      <c r="M444">
        <v>21</v>
      </c>
      <c r="N444" s="3">
        <v>3428.04</v>
      </c>
      <c r="O444" s="1" t="s">
        <v>130</v>
      </c>
    </row>
    <row r="445" spans="1:15" ht="15">
      <c r="A445" s="6" t="s">
        <v>187</v>
      </c>
      <c r="B445">
        <v>268</v>
      </c>
      <c r="C445" s="2">
        <v>43173</v>
      </c>
      <c r="D445" t="s">
        <v>188</v>
      </c>
      <c r="E445" s="2">
        <v>43100</v>
      </c>
      <c r="F445">
        <v>0</v>
      </c>
      <c r="G445" s="2">
        <v>43174</v>
      </c>
      <c r="H445" s="2">
        <v>43154</v>
      </c>
      <c r="I445" t="s">
        <v>16</v>
      </c>
      <c r="J445" s="3">
        <v>6000</v>
      </c>
      <c r="K445" s="3">
        <v>1081.97</v>
      </c>
      <c r="L445" s="3">
        <v>4918.03</v>
      </c>
      <c r="M445">
        <v>20</v>
      </c>
      <c r="N445" s="3">
        <v>98360.6</v>
      </c>
      <c r="O445" s="1" t="s">
        <v>63</v>
      </c>
    </row>
    <row r="446" spans="1:15" ht="15">
      <c r="A446" s="6" t="s">
        <v>76</v>
      </c>
      <c r="B446">
        <v>109</v>
      </c>
      <c r="C446" s="2">
        <v>43139</v>
      </c>
      <c r="D446" t="s">
        <v>189</v>
      </c>
      <c r="E446" s="2">
        <v>41562</v>
      </c>
      <c r="F446">
        <v>0</v>
      </c>
      <c r="G446" s="2">
        <v>43139</v>
      </c>
      <c r="H446" s="2">
        <v>43119</v>
      </c>
      <c r="I446" t="s">
        <v>16</v>
      </c>
      <c r="J446" s="3">
        <v>2200</v>
      </c>
      <c r="K446">
        <v>0</v>
      </c>
      <c r="L446" s="3">
        <v>2200</v>
      </c>
      <c r="M446">
        <v>20</v>
      </c>
      <c r="N446" s="3">
        <v>44000</v>
      </c>
      <c r="O446" s="1" t="s">
        <v>134</v>
      </c>
    </row>
    <row r="447" spans="1:15" ht="28.8">
      <c r="A447" s="6" t="s">
        <v>190</v>
      </c>
      <c r="B447">
        <v>183</v>
      </c>
      <c r="C447" s="2">
        <v>43151</v>
      </c>
      <c r="D447" t="s">
        <v>191</v>
      </c>
      <c r="E447" s="2">
        <v>43089</v>
      </c>
      <c r="F447">
        <v>0</v>
      </c>
      <c r="G447" s="2">
        <v>43152</v>
      </c>
      <c r="H447" s="2">
        <v>43133</v>
      </c>
      <c r="I447" t="s">
        <v>16</v>
      </c>
      <c r="J447">
        <v>242.04</v>
      </c>
      <c r="K447">
        <v>43.65</v>
      </c>
      <c r="L447">
        <v>198.39</v>
      </c>
      <c r="M447">
        <v>19</v>
      </c>
      <c r="N447" s="3">
        <v>3769.41</v>
      </c>
      <c r="O447" s="1" t="s">
        <v>74</v>
      </c>
    </row>
    <row r="448" spans="1:15" ht="28.8">
      <c r="A448" s="6" t="s">
        <v>190</v>
      </c>
      <c r="B448">
        <v>182</v>
      </c>
      <c r="C448" s="2">
        <v>43151</v>
      </c>
      <c r="D448" t="s">
        <v>191</v>
      </c>
      <c r="E448" s="2">
        <v>43089</v>
      </c>
      <c r="F448">
        <v>0</v>
      </c>
      <c r="G448" s="2">
        <v>43152</v>
      </c>
      <c r="H448" s="2">
        <v>43133</v>
      </c>
      <c r="I448" t="s">
        <v>16</v>
      </c>
      <c r="J448">
        <v>8.62</v>
      </c>
      <c r="K448">
        <v>1.55</v>
      </c>
      <c r="L448">
        <v>7.07</v>
      </c>
      <c r="M448">
        <v>19</v>
      </c>
      <c r="N448">
        <v>134.33</v>
      </c>
      <c r="O448" s="1" t="s">
        <v>74</v>
      </c>
    </row>
    <row r="449" spans="1:15" ht="28.8">
      <c r="A449" s="6" t="s">
        <v>190</v>
      </c>
      <c r="B449">
        <v>188</v>
      </c>
      <c r="C449" s="2">
        <v>43151</v>
      </c>
      <c r="D449" t="s">
        <v>191</v>
      </c>
      <c r="E449" s="2">
        <v>43089</v>
      </c>
      <c r="F449">
        <v>0</v>
      </c>
      <c r="G449" s="2">
        <v>43152</v>
      </c>
      <c r="H449" s="2">
        <v>43133</v>
      </c>
      <c r="I449" t="s">
        <v>16</v>
      </c>
      <c r="J449">
        <v>390.65</v>
      </c>
      <c r="K449">
        <v>70.44</v>
      </c>
      <c r="L449">
        <v>320.21</v>
      </c>
      <c r="M449">
        <v>19</v>
      </c>
      <c r="N449" s="3">
        <v>6083.99</v>
      </c>
      <c r="O449" s="1" t="s">
        <v>74</v>
      </c>
    </row>
    <row r="450" spans="1:15" ht="28.8">
      <c r="A450" s="6" t="s">
        <v>190</v>
      </c>
      <c r="B450">
        <v>185</v>
      </c>
      <c r="C450" s="2">
        <v>43151</v>
      </c>
      <c r="D450" t="s">
        <v>191</v>
      </c>
      <c r="E450" s="2">
        <v>43089</v>
      </c>
      <c r="F450">
        <v>0</v>
      </c>
      <c r="G450" s="2">
        <v>43152</v>
      </c>
      <c r="H450" s="2">
        <v>43133</v>
      </c>
      <c r="I450" t="s">
        <v>16</v>
      </c>
      <c r="J450">
        <v>16.96</v>
      </c>
      <c r="K450">
        <v>3.06</v>
      </c>
      <c r="L450">
        <v>13.9</v>
      </c>
      <c r="M450">
        <v>19</v>
      </c>
      <c r="N450">
        <v>264.1</v>
      </c>
      <c r="O450" s="1" t="s">
        <v>74</v>
      </c>
    </row>
    <row r="451" spans="1:15" ht="28.8">
      <c r="A451" s="6" t="s">
        <v>190</v>
      </c>
      <c r="B451">
        <v>187</v>
      </c>
      <c r="C451" s="2">
        <v>43151</v>
      </c>
      <c r="D451" t="s">
        <v>191</v>
      </c>
      <c r="E451" s="2">
        <v>43089</v>
      </c>
      <c r="F451">
        <v>0</v>
      </c>
      <c r="G451" s="2">
        <v>43152</v>
      </c>
      <c r="H451" s="2">
        <v>43133</v>
      </c>
      <c r="I451" t="s">
        <v>16</v>
      </c>
      <c r="J451">
        <v>69.74</v>
      </c>
      <c r="K451">
        <v>12.58</v>
      </c>
      <c r="L451">
        <v>57.16</v>
      </c>
      <c r="M451">
        <v>19</v>
      </c>
      <c r="N451" s="3">
        <v>1086.04</v>
      </c>
      <c r="O451" s="1" t="s">
        <v>74</v>
      </c>
    </row>
    <row r="452" spans="1:15" ht="28.8">
      <c r="A452" s="6" t="s">
        <v>190</v>
      </c>
      <c r="B452">
        <v>184</v>
      </c>
      <c r="C452" s="2">
        <v>43151</v>
      </c>
      <c r="D452" t="s">
        <v>191</v>
      </c>
      <c r="E452" s="2">
        <v>43089</v>
      </c>
      <c r="F452">
        <v>0</v>
      </c>
      <c r="G452" s="2">
        <v>43152</v>
      </c>
      <c r="H452" s="2">
        <v>43133</v>
      </c>
      <c r="I452" t="s">
        <v>16</v>
      </c>
      <c r="J452">
        <v>353.6</v>
      </c>
      <c r="K452">
        <v>63.76</v>
      </c>
      <c r="L452">
        <v>289.84</v>
      </c>
      <c r="M452">
        <v>19</v>
      </c>
      <c r="N452" s="3">
        <v>5506.96</v>
      </c>
      <c r="O452" s="1" t="s">
        <v>74</v>
      </c>
    </row>
    <row r="453" spans="1:15" ht="28.8">
      <c r="A453" s="6" t="s">
        <v>190</v>
      </c>
      <c r="B453">
        <v>186</v>
      </c>
      <c r="C453" s="2">
        <v>43151</v>
      </c>
      <c r="D453" t="s">
        <v>191</v>
      </c>
      <c r="E453" s="2">
        <v>43089</v>
      </c>
      <c r="F453">
        <v>0</v>
      </c>
      <c r="G453" s="2">
        <v>43152</v>
      </c>
      <c r="H453" s="2">
        <v>43133</v>
      </c>
      <c r="I453" t="s">
        <v>16</v>
      </c>
      <c r="J453">
        <v>312.76</v>
      </c>
      <c r="K453">
        <v>56.4</v>
      </c>
      <c r="L453">
        <v>256.36</v>
      </c>
      <c r="M453">
        <v>19</v>
      </c>
      <c r="N453" s="3">
        <v>4870.84</v>
      </c>
      <c r="O453" s="1" t="s">
        <v>74</v>
      </c>
    </row>
    <row r="454" spans="1:15" ht="28.8">
      <c r="A454" s="6" t="s">
        <v>190</v>
      </c>
      <c r="B454">
        <v>181</v>
      </c>
      <c r="C454" s="2">
        <v>43151</v>
      </c>
      <c r="D454" t="s">
        <v>191</v>
      </c>
      <c r="E454" s="2">
        <v>43089</v>
      </c>
      <c r="F454">
        <v>0</v>
      </c>
      <c r="G454" s="2">
        <v>43152</v>
      </c>
      <c r="H454" s="2">
        <v>43133</v>
      </c>
      <c r="I454" t="s">
        <v>16</v>
      </c>
      <c r="J454">
        <v>183.11</v>
      </c>
      <c r="K454">
        <v>33.02</v>
      </c>
      <c r="L454">
        <v>150.09</v>
      </c>
      <c r="M454">
        <v>19</v>
      </c>
      <c r="N454" s="3">
        <v>2851.71</v>
      </c>
      <c r="O454" s="1" t="s">
        <v>74</v>
      </c>
    </row>
    <row r="455" spans="1:15" ht="15">
      <c r="A455" s="6" t="s">
        <v>15</v>
      </c>
      <c r="B455">
        <v>16</v>
      </c>
      <c r="C455" s="2">
        <v>43123</v>
      </c>
      <c r="D455" t="str">
        <f>"9017012000013546"</f>
        <v>9017012000013546</v>
      </c>
      <c r="E455" s="2">
        <v>43069</v>
      </c>
      <c r="F455">
        <v>0</v>
      </c>
      <c r="G455" s="2">
        <v>43123</v>
      </c>
      <c r="H455" s="2">
        <v>43104</v>
      </c>
      <c r="I455" t="s">
        <v>16</v>
      </c>
      <c r="J455">
        <v>30.07</v>
      </c>
      <c r="K455">
        <v>2.73</v>
      </c>
      <c r="L455">
        <v>27.34</v>
      </c>
      <c r="M455">
        <v>19</v>
      </c>
      <c r="N455">
        <v>519.46</v>
      </c>
      <c r="O455" s="1" t="s">
        <v>51</v>
      </c>
    </row>
    <row r="456" spans="1:15" ht="15">
      <c r="A456" s="6" t="s">
        <v>15</v>
      </c>
      <c r="B456">
        <v>17</v>
      </c>
      <c r="C456" s="2">
        <v>43123</v>
      </c>
      <c r="D456" t="str">
        <f>"9017012000013244"</f>
        <v>9017012000013244</v>
      </c>
      <c r="E456" s="2">
        <v>43069</v>
      </c>
      <c r="F456">
        <v>0</v>
      </c>
      <c r="G456" s="2">
        <v>43123</v>
      </c>
      <c r="H456" s="2">
        <v>43104</v>
      </c>
      <c r="I456" t="s">
        <v>16</v>
      </c>
      <c r="J456">
        <v>61.67</v>
      </c>
      <c r="K456">
        <v>5.61</v>
      </c>
      <c r="L456">
        <v>56.06</v>
      </c>
      <c r="M456">
        <v>19</v>
      </c>
      <c r="N456" s="3">
        <v>1065.14</v>
      </c>
      <c r="O456" s="1" t="s">
        <v>51</v>
      </c>
    </row>
    <row r="457" spans="1:15" ht="15">
      <c r="A457" s="6" t="s">
        <v>172</v>
      </c>
      <c r="B457">
        <v>354</v>
      </c>
      <c r="C457" s="2">
        <v>43185</v>
      </c>
      <c r="D457" t="s">
        <v>192</v>
      </c>
      <c r="E457" s="2">
        <v>43138</v>
      </c>
      <c r="F457">
        <v>0</v>
      </c>
      <c r="G457" s="2">
        <v>43186</v>
      </c>
      <c r="H457" s="2">
        <v>43168</v>
      </c>
      <c r="I457" t="s">
        <v>18</v>
      </c>
      <c r="J457" s="3">
        <v>6776.35</v>
      </c>
      <c r="K457">
        <v>616.03</v>
      </c>
      <c r="L457" s="3">
        <v>6160.32</v>
      </c>
      <c r="M457">
        <v>18</v>
      </c>
      <c r="N457" s="3">
        <v>110885.76</v>
      </c>
      <c r="O457" s="1" t="s">
        <v>30</v>
      </c>
    </row>
    <row r="458" spans="1:15" ht="15">
      <c r="A458" s="6" t="s">
        <v>193</v>
      </c>
      <c r="B458">
        <v>101</v>
      </c>
      <c r="C458" s="2">
        <v>43138</v>
      </c>
      <c r="D458" t="s">
        <v>194</v>
      </c>
      <c r="E458" s="2">
        <v>43090</v>
      </c>
      <c r="F458">
        <v>0</v>
      </c>
      <c r="G458" s="2">
        <v>43138</v>
      </c>
      <c r="H458" s="2">
        <v>43120</v>
      </c>
      <c r="I458" t="s">
        <v>16</v>
      </c>
      <c r="J458">
        <v>600</v>
      </c>
      <c r="K458">
        <v>108.2</v>
      </c>
      <c r="L458">
        <v>491.8</v>
      </c>
      <c r="M458">
        <v>18</v>
      </c>
      <c r="N458" s="3">
        <v>8852.4</v>
      </c>
      <c r="O458" s="1" t="s">
        <v>111</v>
      </c>
    </row>
    <row r="459" spans="1:15" ht="15">
      <c r="A459" s="6" t="s">
        <v>195</v>
      </c>
      <c r="B459">
        <v>355</v>
      </c>
      <c r="C459" s="2">
        <v>43185</v>
      </c>
      <c r="D459" t="str">
        <f>"000572"</f>
        <v>000572</v>
      </c>
      <c r="E459" s="2">
        <v>43132</v>
      </c>
      <c r="F459">
        <v>0</v>
      </c>
      <c r="G459" s="2">
        <v>43186</v>
      </c>
      <c r="H459" s="2">
        <v>43169</v>
      </c>
      <c r="I459" t="s">
        <v>16</v>
      </c>
      <c r="J459" s="3">
        <v>2022</v>
      </c>
      <c r="K459">
        <v>32.8</v>
      </c>
      <c r="L459" s="3">
        <v>1989.2</v>
      </c>
      <c r="M459">
        <v>17</v>
      </c>
      <c r="N459" s="3">
        <v>33816.4</v>
      </c>
      <c r="O459" s="1" t="s">
        <v>111</v>
      </c>
    </row>
    <row r="460" spans="1:15" ht="28.8">
      <c r="A460" s="6" t="s">
        <v>120</v>
      </c>
      <c r="B460">
        <v>306</v>
      </c>
      <c r="C460" s="2">
        <v>43182</v>
      </c>
      <c r="D460" t="str">
        <f>"330"</f>
        <v>330</v>
      </c>
      <c r="E460" s="2">
        <v>43099</v>
      </c>
      <c r="F460">
        <v>0</v>
      </c>
      <c r="G460" s="2">
        <v>43186</v>
      </c>
      <c r="H460" s="2">
        <v>43170</v>
      </c>
      <c r="I460" t="s">
        <v>16</v>
      </c>
      <c r="J460" s="3">
        <v>11338.6</v>
      </c>
      <c r="K460">
        <v>436.1</v>
      </c>
      <c r="L460" s="3">
        <v>10902.5</v>
      </c>
      <c r="M460">
        <v>16</v>
      </c>
      <c r="N460" s="3">
        <v>174440</v>
      </c>
      <c r="O460" s="1" t="s">
        <v>118</v>
      </c>
    </row>
    <row r="461" spans="1:15" ht="28.8">
      <c r="A461" s="6" t="s">
        <v>183</v>
      </c>
      <c r="B461">
        <v>407</v>
      </c>
      <c r="C461" s="2">
        <v>43186</v>
      </c>
      <c r="D461" t="s">
        <v>65</v>
      </c>
      <c r="E461" s="2">
        <v>43139</v>
      </c>
      <c r="F461">
        <v>0</v>
      </c>
      <c r="G461" s="2">
        <v>43186</v>
      </c>
      <c r="H461" s="2">
        <v>43170</v>
      </c>
      <c r="I461" t="s">
        <v>18</v>
      </c>
      <c r="J461">
        <v>95</v>
      </c>
      <c r="K461">
        <v>0</v>
      </c>
      <c r="L461">
        <v>95</v>
      </c>
      <c r="M461">
        <v>16</v>
      </c>
      <c r="N461" s="3">
        <v>1520</v>
      </c>
      <c r="O461" s="1" t="s">
        <v>63</v>
      </c>
    </row>
    <row r="462" spans="1:15" ht="28.8">
      <c r="A462" s="6" t="s">
        <v>196</v>
      </c>
      <c r="B462">
        <v>406</v>
      </c>
      <c r="C462" s="2">
        <v>43186</v>
      </c>
      <c r="D462" t="s">
        <v>65</v>
      </c>
      <c r="E462" s="2">
        <v>43100</v>
      </c>
      <c r="F462">
        <v>0</v>
      </c>
      <c r="G462" s="2">
        <v>43186</v>
      </c>
      <c r="H462" s="2">
        <v>43170</v>
      </c>
      <c r="I462" t="s">
        <v>18</v>
      </c>
      <c r="J462">
        <v>87.7</v>
      </c>
      <c r="K462">
        <v>19.3</v>
      </c>
      <c r="L462">
        <v>68.4</v>
      </c>
      <c r="M462">
        <v>16</v>
      </c>
      <c r="N462" s="3">
        <v>1094.4</v>
      </c>
      <c r="O462" s="1" t="s">
        <v>197</v>
      </c>
    </row>
    <row r="463" spans="1:15" ht="28.8">
      <c r="A463" s="6" t="s">
        <v>196</v>
      </c>
      <c r="B463">
        <v>404</v>
      </c>
      <c r="C463" s="2">
        <v>43186</v>
      </c>
      <c r="D463" t="s">
        <v>198</v>
      </c>
      <c r="E463" s="2">
        <v>43055</v>
      </c>
      <c r="F463">
        <v>0</v>
      </c>
      <c r="G463" s="2">
        <v>43186</v>
      </c>
      <c r="H463" s="2">
        <v>43170</v>
      </c>
      <c r="I463" t="s">
        <v>18</v>
      </c>
      <c r="J463">
        <v>73.77</v>
      </c>
      <c r="K463">
        <v>16.23</v>
      </c>
      <c r="L463">
        <v>57.54</v>
      </c>
      <c r="M463">
        <v>16</v>
      </c>
      <c r="N463">
        <v>920.64</v>
      </c>
      <c r="O463" s="1" t="s">
        <v>197</v>
      </c>
    </row>
    <row r="464" spans="1:15" ht="15">
      <c r="A464" s="6" t="s">
        <v>199</v>
      </c>
      <c r="B464">
        <v>76</v>
      </c>
      <c r="C464" s="2">
        <v>43133</v>
      </c>
      <c r="D464" t="s">
        <v>200</v>
      </c>
      <c r="E464" s="2">
        <v>43075</v>
      </c>
      <c r="F464">
        <v>0</v>
      </c>
      <c r="G464" s="2">
        <v>43133</v>
      </c>
      <c r="H464" s="2">
        <v>43117</v>
      </c>
      <c r="I464" t="s">
        <v>16</v>
      </c>
      <c r="J464">
        <v>30.18</v>
      </c>
      <c r="K464">
        <v>0</v>
      </c>
      <c r="L464">
        <v>30.18</v>
      </c>
      <c r="M464">
        <v>16</v>
      </c>
      <c r="N464">
        <v>482.88</v>
      </c>
      <c r="O464" s="1" t="s">
        <v>162</v>
      </c>
    </row>
    <row r="465" spans="1:15" ht="28.8">
      <c r="A465" s="6" t="s">
        <v>91</v>
      </c>
      <c r="B465">
        <v>159</v>
      </c>
      <c r="C465" s="2">
        <v>43150</v>
      </c>
      <c r="D465" t="s">
        <v>201</v>
      </c>
      <c r="E465" s="2">
        <v>43100</v>
      </c>
      <c r="F465">
        <v>0</v>
      </c>
      <c r="G465" s="2">
        <v>43152</v>
      </c>
      <c r="H465" s="2">
        <v>43138</v>
      </c>
      <c r="I465" t="s">
        <v>16</v>
      </c>
      <c r="J465" s="3">
        <v>10184.56</v>
      </c>
      <c r="K465" s="3">
        <v>1836.56</v>
      </c>
      <c r="L465" s="3">
        <v>8348</v>
      </c>
      <c r="M465">
        <v>14</v>
      </c>
      <c r="N465" s="3">
        <v>116872</v>
      </c>
      <c r="O465" s="1" t="s">
        <v>93</v>
      </c>
    </row>
    <row r="466" spans="1:15" ht="15">
      <c r="A466" s="6" t="s">
        <v>140</v>
      </c>
      <c r="B466">
        <v>11</v>
      </c>
      <c r="C466" s="2">
        <v>43123</v>
      </c>
      <c r="D466" t="str">
        <f>"004801708226"</f>
        <v>004801708226</v>
      </c>
      <c r="E466" s="2">
        <v>43074</v>
      </c>
      <c r="F466">
        <v>0</v>
      </c>
      <c r="G466" s="2">
        <v>43123</v>
      </c>
      <c r="H466" s="2">
        <v>43109</v>
      </c>
      <c r="I466" t="s">
        <v>16</v>
      </c>
      <c r="J466">
        <v>768.77</v>
      </c>
      <c r="K466">
        <v>138.63</v>
      </c>
      <c r="L466">
        <v>630.14</v>
      </c>
      <c r="M466">
        <v>14</v>
      </c>
      <c r="N466" s="3">
        <v>8821.96</v>
      </c>
      <c r="O466" s="1" t="s">
        <v>71</v>
      </c>
    </row>
    <row r="467" spans="1:15" ht="15">
      <c r="A467" s="6" t="s">
        <v>140</v>
      </c>
      <c r="B467">
        <v>10</v>
      </c>
      <c r="C467" s="2">
        <v>43123</v>
      </c>
      <c r="D467" t="str">
        <f>"004801763573"</f>
        <v>004801763573</v>
      </c>
      <c r="E467" s="2">
        <v>43074</v>
      </c>
      <c r="F467">
        <v>0</v>
      </c>
      <c r="G467" s="2">
        <v>43123</v>
      </c>
      <c r="H467" s="2">
        <v>43109</v>
      </c>
      <c r="I467" t="s">
        <v>16</v>
      </c>
      <c r="J467">
        <v>205.98</v>
      </c>
      <c r="K467">
        <v>37.14</v>
      </c>
      <c r="L467">
        <v>168.84</v>
      </c>
      <c r="M467">
        <v>14</v>
      </c>
      <c r="N467" s="3">
        <v>2363.76</v>
      </c>
      <c r="O467" s="1" t="s">
        <v>71</v>
      </c>
    </row>
    <row r="468" spans="1:15" ht="15">
      <c r="A468" s="6" t="s">
        <v>140</v>
      </c>
      <c r="B468">
        <v>12</v>
      </c>
      <c r="C468" s="2">
        <v>43123</v>
      </c>
      <c r="D468" t="str">
        <f>"004801763571"</f>
        <v>004801763571</v>
      </c>
      <c r="E468" s="2">
        <v>43074</v>
      </c>
      <c r="F468">
        <v>0</v>
      </c>
      <c r="G468" s="2">
        <v>43123</v>
      </c>
      <c r="H468" s="2">
        <v>43109</v>
      </c>
      <c r="I468" t="s">
        <v>16</v>
      </c>
      <c r="J468">
        <v>260.86</v>
      </c>
      <c r="K468">
        <v>47.04</v>
      </c>
      <c r="L468">
        <v>213.82</v>
      </c>
      <c r="M468">
        <v>14</v>
      </c>
      <c r="N468" s="3">
        <v>2993.48</v>
      </c>
      <c r="O468" s="1" t="s">
        <v>71</v>
      </c>
    </row>
    <row r="469" spans="1:15" ht="15">
      <c r="A469" s="6" t="s">
        <v>140</v>
      </c>
      <c r="B469">
        <v>10</v>
      </c>
      <c r="C469" s="2">
        <v>43123</v>
      </c>
      <c r="D469" t="str">
        <f>"004801763578"</f>
        <v>004801763578</v>
      </c>
      <c r="E469" s="2">
        <v>43074</v>
      </c>
      <c r="F469">
        <v>0</v>
      </c>
      <c r="G469" s="2">
        <v>43123</v>
      </c>
      <c r="H469" s="2">
        <v>43109</v>
      </c>
      <c r="I469" t="s">
        <v>16</v>
      </c>
      <c r="J469">
        <v>94.6</v>
      </c>
      <c r="K469">
        <v>17.06</v>
      </c>
      <c r="L469">
        <v>77.54</v>
      </c>
      <c r="M469">
        <v>14</v>
      </c>
      <c r="N469" s="3">
        <v>1085.56</v>
      </c>
      <c r="O469" s="1" t="s">
        <v>71</v>
      </c>
    </row>
    <row r="470" spans="1:15" ht="15">
      <c r="A470" s="6" t="s">
        <v>154</v>
      </c>
      <c r="B470">
        <v>66</v>
      </c>
      <c r="C470" s="2">
        <v>43133</v>
      </c>
      <c r="D470" t="s">
        <v>202</v>
      </c>
      <c r="E470" s="2">
        <v>43069</v>
      </c>
      <c r="F470">
        <v>0</v>
      </c>
      <c r="G470" s="2">
        <v>43133</v>
      </c>
      <c r="H470" s="2">
        <v>43119</v>
      </c>
      <c r="I470" t="s">
        <v>16</v>
      </c>
      <c r="J470">
        <v>476.93</v>
      </c>
      <c r="K470">
        <v>86</v>
      </c>
      <c r="L470">
        <v>390.93</v>
      </c>
      <c r="M470">
        <v>14</v>
      </c>
      <c r="N470" s="3">
        <v>5473.02</v>
      </c>
      <c r="O470" s="1" t="s">
        <v>54</v>
      </c>
    </row>
    <row r="471" spans="1:15" ht="15">
      <c r="A471" s="6" t="s">
        <v>154</v>
      </c>
      <c r="B471">
        <v>65</v>
      </c>
      <c r="C471" s="2">
        <v>43133</v>
      </c>
      <c r="D471" t="s">
        <v>203</v>
      </c>
      <c r="E471" s="2">
        <v>43069</v>
      </c>
      <c r="F471">
        <v>0</v>
      </c>
      <c r="G471" s="2">
        <v>43133</v>
      </c>
      <c r="H471" s="2">
        <v>43119</v>
      </c>
      <c r="I471" t="s">
        <v>16</v>
      </c>
      <c r="J471">
        <v>94.07</v>
      </c>
      <c r="K471">
        <v>16.96</v>
      </c>
      <c r="L471">
        <v>77.11</v>
      </c>
      <c r="M471">
        <v>14</v>
      </c>
      <c r="N471" s="3">
        <v>1079.54</v>
      </c>
      <c r="O471" s="1" t="s">
        <v>54</v>
      </c>
    </row>
    <row r="472" spans="1:15" ht="15">
      <c r="A472" s="6" t="s">
        <v>78</v>
      </c>
      <c r="B472">
        <v>5</v>
      </c>
      <c r="C472" s="2">
        <v>43123</v>
      </c>
      <c r="D472" t="s">
        <v>204</v>
      </c>
      <c r="E472" s="2">
        <v>43069</v>
      </c>
      <c r="F472">
        <v>0</v>
      </c>
      <c r="G472" s="2">
        <v>43123</v>
      </c>
      <c r="H472" s="2">
        <v>43110</v>
      </c>
      <c r="I472" t="s">
        <v>16</v>
      </c>
      <c r="J472">
        <v>170.8</v>
      </c>
      <c r="K472">
        <v>30.8</v>
      </c>
      <c r="L472">
        <v>140</v>
      </c>
      <c r="M472">
        <v>13</v>
      </c>
      <c r="N472" s="3">
        <v>1820</v>
      </c>
      <c r="O472" s="1" t="s">
        <v>30</v>
      </c>
    </row>
    <row r="473" spans="1:15" ht="28.8">
      <c r="A473" s="6" t="s">
        <v>120</v>
      </c>
      <c r="B473">
        <v>79</v>
      </c>
      <c r="C473" s="2">
        <v>43138</v>
      </c>
      <c r="D473" t="str">
        <f>"304"</f>
        <v>304</v>
      </c>
      <c r="E473" s="2">
        <v>43069</v>
      </c>
      <c r="F473">
        <v>0</v>
      </c>
      <c r="G473" s="2">
        <v>43138</v>
      </c>
      <c r="H473" s="2">
        <v>43126</v>
      </c>
      <c r="I473" t="s">
        <v>16</v>
      </c>
      <c r="J473">
        <v>769.97</v>
      </c>
      <c r="K473">
        <v>138.85</v>
      </c>
      <c r="L473">
        <v>631.12</v>
      </c>
      <c r="M473">
        <v>12</v>
      </c>
      <c r="N473" s="3">
        <v>7573.44</v>
      </c>
      <c r="O473" s="1" t="s">
        <v>118</v>
      </c>
    </row>
    <row r="474" spans="1:15" ht="28.8">
      <c r="A474" s="6" t="s">
        <v>120</v>
      </c>
      <c r="B474">
        <v>80</v>
      </c>
      <c r="C474" s="2">
        <v>43138</v>
      </c>
      <c r="D474" t="str">
        <f>"306"</f>
        <v>306</v>
      </c>
      <c r="E474" s="2">
        <v>43069</v>
      </c>
      <c r="F474">
        <v>0</v>
      </c>
      <c r="G474" s="2">
        <v>43138</v>
      </c>
      <c r="H474" s="2">
        <v>43126</v>
      </c>
      <c r="I474" t="s">
        <v>16</v>
      </c>
      <c r="J474">
        <v>167.38</v>
      </c>
      <c r="K474">
        <v>30.18</v>
      </c>
      <c r="L474">
        <v>137.2</v>
      </c>
      <c r="M474">
        <v>12</v>
      </c>
      <c r="N474" s="3">
        <v>1646.4</v>
      </c>
      <c r="O474" s="1" t="s">
        <v>118</v>
      </c>
    </row>
    <row r="475" spans="1:15" ht="15">
      <c r="A475" s="6" t="s">
        <v>101</v>
      </c>
      <c r="B475">
        <v>162</v>
      </c>
      <c r="C475" s="2">
        <v>43150</v>
      </c>
      <c r="D475" t="s">
        <v>205</v>
      </c>
      <c r="E475" s="2">
        <v>43100</v>
      </c>
      <c r="F475">
        <v>0</v>
      </c>
      <c r="G475" s="2">
        <v>43152</v>
      </c>
      <c r="H475" s="2">
        <v>43141</v>
      </c>
      <c r="I475" t="s">
        <v>16</v>
      </c>
      <c r="J475">
        <v>342.02</v>
      </c>
      <c r="K475">
        <v>34.84</v>
      </c>
      <c r="L475">
        <v>307.18</v>
      </c>
      <c r="M475">
        <v>11</v>
      </c>
      <c r="N475" s="3">
        <v>3378.98</v>
      </c>
      <c r="O475" s="1" t="s">
        <v>103</v>
      </c>
    </row>
    <row r="476" spans="1:15" ht="15">
      <c r="A476" s="6" t="s">
        <v>140</v>
      </c>
      <c r="B476">
        <v>202</v>
      </c>
      <c r="C476" s="2">
        <v>43152</v>
      </c>
      <c r="D476" t="str">
        <f>"004810034276"</f>
        <v>004810034276</v>
      </c>
      <c r="E476" s="2">
        <v>43106</v>
      </c>
      <c r="F476">
        <v>0</v>
      </c>
      <c r="G476" s="2">
        <v>43152</v>
      </c>
      <c r="H476" s="2">
        <v>43143</v>
      </c>
      <c r="I476" t="s">
        <v>16</v>
      </c>
      <c r="J476">
        <v>24.97</v>
      </c>
      <c r="K476">
        <v>4.5</v>
      </c>
      <c r="L476">
        <v>20.47</v>
      </c>
      <c r="M476">
        <v>9</v>
      </c>
      <c r="N476">
        <v>184.23</v>
      </c>
      <c r="O476" s="1" t="s">
        <v>71</v>
      </c>
    </row>
    <row r="477" spans="1:15" ht="15">
      <c r="A477" s="6" t="s">
        <v>140</v>
      </c>
      <c r="B477">
        <v>205</v>
      </c>
      <c r="C477" s="2">
        <v>43152</v>
      </c>
      <c r="D477" t="str">
        <f>"004810040294"</f>
        <v>004810040294</v>
      </c>
      <c r="E477" s="2">
        <v>43106</v>
      </c>
      <c r="F477">
        <v>0</v>
      </c>
      <c r="G477" s="2">
        <v>43152</v>
      </c>
      <c r="H477" s="2">
        <v>43143</v>
      </c>
      <c r="I477" t="s">
        <v>16</v>
      </c>
      <c r="J477">
        <v>137.63</v>
      </c>
      <c r="K477">
        <v>24.82</v>
      </c>
      <c r="L477">
        <v>112.81</v>
      </c>
      <c r="M477">
        <v>9</v>
      </c>
      <c r="N477" s="3">
        <v>1015.29</v>
      </c>
      <c r="O477" s="1" t="s">
        <v>71</v>
      </c>
    </row>
    <row r="478" spans="1:15" ht="15">
      <c r="A478" s="6" t="s">
        <v>140</v>
      </c>
      <c r="B478">
        <v>203</v>
      </c>
      <c r="C478" s="2">
        <v>43152</v>
      </c>
      <c r="D478" t="str">
        <f>"004810040299"</f>
        <v>004810040299</v>
      </c>
      <c r="E478" s="2">
        <v>43106</v>
      </c>
      <c r="F478">
        <v>0</v>
      </c>
      <c r="G478" s="2">
        <v>43152</v>
      </c>
      <c r="H478" s="2">
        <v>43143</v>
      </c>
      <c r="I478" t="s">
        <v>16</v>
      </c>
      <c r="J478">
        <v>23.33</v>
      </c>
      <c r="K478">
        <v>4.21</v>
      </c>
      <c r="L478">
        <v>19.12</v>
      </c>
      <c r="M478">
        <v>9</v>
      </c>
      <c r="N478">
        <v>172.08</v>
      </c>
      <c r="O478" s="1" t="s">
        <v>71</v>
      </c>
    </row>
    <row r="479" spans="1:15" ht="15">
      <c r="A479" s="6" t="s">
        <v>140</v>
      </c>
      <c r="B479">
        <v>205</v>
      </c>
      <c r="C479" s="2">
        <v>43152</v>
      </c>
      <c r="D479" t="str">
        <f>"004810040318"</f>
        <v>004810040318</v>
      </c>
      <c r="E479" s="2">
        <v>43106</v>
      </c>
      <c r="F479">
        <v>0</v>
      </c>
      <c r="G479" s="2">
        <v>43152</v>
      </c>
      <c r="H479" s="2">
        <v>43143</v>
      </c>
      <c r="I479" t="s">
        <v>16</v>
      </c>
      <c r="J479">
        <v>55.55</v>
      </c>
      <c r="K479">
        <v>10.02</v>
      </c>
      <c r="L479">
        <v>45.53</v>
      </c>
      <c r="M479">
        <v>9</v>
      </c>
      <c r="N479">
        <v>409.77</v>
      </c>
      <c r="O479" s="1" t="s">
        <v>71</v>
      </c>
    </row>
    <row r="480" spans="1:15" ht="15">
      <c r="A480" s="6" t="s">
        <v>140</v>
      </c>
      <c r="B480">
        <v>205</v>
      </c>
      <c r="C480" s="2">
        <v>43152</v>
      </c>
      <c r="D480" t="str">
        <f>"004810040325"</f>
        <v>004810040325</v>
      </c>
      <c r="E480" s="2">
        <v>43106</v>
      </c>
      <c r="F480">
        <v>0</v>
      </c>
      <c r="G480" s="2">
        <v>43152</v>
      </c>
      <c r="H480" s="2">
        <v>43143</v>
      </c>
      <c r="I480" t="s">
        <v>16</v>
      </c>
      <c r="J480">
        <v>154.6</v>
      </c>
      <c r="K480">
        <v>27.88</v>
      </c>
      <c r="L480">
        <v>126.72</v>
      </c>
      <c r="M480">
        <v>9</v>
      </c>
      <c r="N480" s="3">
        <v>1140.48</v>
      </c>
      <c r="O480" s="1" t="s">
        <v>71</v>
      </c>
    </row>
    <row r="481" spans="1:15" ht="15">
      <c r="A481" s="6" t="s">
        <v>140</v>
      </c>
      <c r="B481">
        <v>205</v>
      </c>
      <c r="C481" s="2">
        <v>43152</v>
      </c>
      <c r="D481" t="str">
        <f>"004810040298"</f>
        <v>004810040298</v>
      </c>
      <c r="E481" s="2">
        <v>43106</v>
      </c>
      <c r="F481">
        <v>0</v>
      </c>
      <c r="G481" s="2">
        <v>43152</v>
      </c>
      <c r="H481" s="2">
        <v>43143</v>
      </c>
      <c r="I481" t="s">
        <v>16</v>
      </c>
      <c r="J481">
        <v>48.08</v>
      </c>
      <c r="K481">
        <v>8.67</v>
      </c>
      <c r="L481">
        <v>39.41</v>
      </c>
      <c r="M481">
        <v>9</v>
      </c>
      <c r="N481">
        <v>354.69</v>
      </c>
      <c r="O481" s="1" t="s">
        <v>71</v>
      </c>
    </row>
    <row r="482" spans="1:15" ht="15">
      <c r="A482" s="6" t="s">
        <v>140</v>
      </c>
      <c r="B482">
        <v>202</v>
      </c>
      <c r="C482" s="2">
        <v>43152</v>
      </c>
      <c r="D482" t="str">
        <f>"004810034273"</f>
        <v>004810034273</v>
      </c>
      <c r="E482" s="2">
        <v>43106</v>
      </c>
      <c r="F482">
        <v>0</v>
      </c>
      <c r="G482" s="2">
        <v>43152</v>
      </c>
      <c r="H482" s="2">
        <v>43143</v>
      </c>
      <c r="I482" t="s">
        <v>16</v>
      </c>
      <c r="J482">
        <v>31.11</v>
      </c>
      <c r="K482">
        <v>5.61</v>
      </c>
      <c r="L482">
        <v>25.5</v>
      </c>
      <c r="M482">
        <v>9</v>
      </c>
      <c r="N482">
        <v>229.5</v>
      </c>
      <c r="O482" s="1" t="s">
        <v>71</v>
      </c>
    </row>
    <row r="483" spans="1:15" ht="15">
      <c r="A483" s="6" t="s">
        <v>140</v>
      </c>
      <c r="B483">
        <v>205</v>
      </c>
      <c r="C483" s="2">
        <v>43152</v>
      </c>
      <c r="D483" t="str">
        <f>"004810051277"</f>
        <v>004810051277</v>
      </c>
      <c r="E483" s="2">
        <v>43106</v>
      </c>
      <c r="F483">
        <v>0</v>
      </c>
      <c r="G483" s="2">
        <v>43152</v>
      </c>
      <c r="H483" s="2">
        <v>43143</v>
      </c>
      <c r="I483" t="s">
        <v>16</v>
      </c>
      <c r="J483">
        <v>2.48</v>
      </c>
      <c r="K483">
        <v>0.45</v>
      </c>
      <c r="L483">
        <v>2.03</v>
      </c>
      <c r="M483">
        <v>9</v>
      </c>
      <c r="N483">
        <v>18.27</v>
      </c>
      <c r="O483" s="1" t="s">
        <v>71</v>
      </c>
    </row>
    <row r="484" spans="1:15" ht="15">
      <c r="A484" s="6" t="s">
        <v>140</v>
      </c>
      <c r="B484">
        <v>202</v>
      </c>
      <c r="C484" s="2">
        <v>43152</v>
      </c>
      <c r="D484" t="str">
        <f>"004810011603"</f>
        <v>004810011603</v>
      </c>
      <c r="E484" s="2">
        <v>43106</v>
      </c>
      <c r="F484">
        <v>0</v>
      </c>
      <c r="G484" s="2">
        <v>43152</v>
      </c>
      <c r="H484" s="2">
        <v>43143</v>
      </c>
      <c r="I484" t="s">
        <v>16</v>
      </c>
      <c r="J484">
        <v>178.96</v>
      </c>
      <c r="K484">
        <v>32.27</v>
      </c>
      <c r="L484">
        <v>146.69</v>
      </c>
      <c r="M484">
        <v>9</v>
      </c>
      <c r="N484" s="3">
        <v>1320.21</v>
      </c>
      <c r="O484" s="1" t="s">
        <v>71</v>
      </c>
    </row>
    <row r="485" spans="1:15" ht="15">
      <c r="A485" s="6" t="s">
        <v>140</v>
      </c>
      <c r="B485">
        <v>205</v>
      </c>
      <c r="C485" s="2">
        <v>43152</v>
      </c>
      <c r="D485" t="str">
        <f>"004810040311"</f>
        <v>004810040311</v>
      </c>
      <c r="E485" s="2">
        <v>43106</v>
      </c>
      <c r="F485">
        <v>0</v>
      </c>
      <c r="G485" s="2">
        <v>43152</v>
      </c>
      <c r="H485" s="2">
        <v>43143</v>
      </c>
      <c r="I485" t="s">
        <v>16</v>
      </c>
      <c r="J485">
        <v>43.91</v>
      </c>
      <c r="K485">
        <v>7.92</v>
      </c>
      <c r="L485">
        <v>35.99</v>
      </c>
      <c r="M485">
        <v>9</v>
      </c>
      <c r="N485">
        <v>323.91</v>
      </c>
      <c r="O485" s="1" t="s">
        <v>71</v>
      </c>
    </row>
    <row r="486" spans="1:15" ht="15">
      <c r="A486" s="6" t="s">
        <v>140</v>
      </c>
      <c r="B486">
        <v>212</v>
      </c>
      <c r="C486" s="2">
        <v>43152</v>
      </c>
      <c r="D486" t="str">
        <f>"004810040331"</f>
        <v>004810040331</v>
      </c>
      <c r="E486" s="2">
        <v>43106</v>
      </c>
      <c r="F486">
        <v>0</v>
      </c>
      <c r="G486" s="2">
        <v>43152</v>
      </c>
      <c r="H486" s="2">
        <v>43143</v>
      </c>
      <c r="I486" t="s">
        <v>16</v>
      </c>
      <c r="J486">
        <v>674.61</v>
      </c>
      <c r="K486">
        <v>121.65</v>
      </c>
      <c r="L486">
        <v>552.96</v>
      </c>
      <c r="M486">
        <v>9</v>
      </c>
      <c r="N486" s="3">
        <v>4976.64</v>
      </c>
      <c r="O486" s="1" t="s">
        <v>71</v>
      </c>
    </row>
    <row r="487" spans="1:15" ht="15">
      <c r="A487" s="6" t="s">
        <v>140</v>
      </c>
      <c r="B487">
        <v>202</v>
      </c>
      <c r="C487" s="2">
        <v>43152</v>
      </c>
      <c r="D487" t="str">
        <f>"004810051268"</f>
        <v>004810051268</v>
      </c>
      <c r="E487" s="2">
        <v>43106</v>
      </c>
      <c r="F487">
        <v>0</v>
      </c>
      <c r="G487" s="2">
        <v>43152</v>
      </c>
      <c r="H487" s="2">
        <v>43143</v>
      </c>
      <c r="I487" t="s">
        <v>16</v>
      </c>
      <c r="J487">
        <v>15.64</v>
      </c>
      <c r="K487">
        <v>2.82</v>
      </c>
      <c r="L487">
        <v>12.82</v>
      </c>
      <c r="M487">
        <v>9</v>
      </c>
      <c r="N487">
        <v>115.38</v>
      </c>
      <c r="O487" s="1" t="s">
        <v>71</v>
      </c>
    </row>
    <row r="488" spans="1:15" ht="15">
      <c r="A488" s="6" t="s">
        <v>140</v>
      </c>
      <c r="B488">
        <v>205</v>
      </c>
      <c r="C488" s="2">
        <v>43152</v>
      </c>
      <c r="D488" t="str">
        <f>"004810040319"</f>
        <v>004810040319</v>
      </c>
      <c r="E488" s="2">
        <v>43106</v>
      </c>
      <c r="F488">
        <v>0</v>
      </c>
      <c r="G488" s="2">
        <v>43152</v>
      </c>
      <c r="H488" s="2">
        <v>43143</v>
      </c>
      <c r="I488" t="s">
        <v>16</v>
      </c>
      <c r="J488">
        <v>50.35</v>
      </c>
      <c r="K488">
        <v>9.08</v>
      </c>
      <c r="L488">
        <v>41.27</v>
      </c>
      <c r="M488">
        <v>9</v>
      </c>
      <c r="N488">
        <v>371.43</v>
      </c>
      <c r="O488" s="1" t="s">
        <v>71</v>
      </c>
    </row>
    <row r="489" spans="1:15" ht="15">
      <c r="A489" s="6" t="s">
        <v>140</v>
      </c>
      <c r="B489">
        <v>205</v>
      </c>
      <c r="C489" s="2">
        <v>43152</v>
      </c>
      <c r="D489" t="str">
        <f>"004810040313"</f>
        <v>004810040313</v>
      </c>
      <c r="E489" s="2">
        <v>43106</v>
      </c>
      <c r="F489">
        <v>0</v>
      </c>
      <c r="G489" s="2">
        <v>43152</v>
      </c>
      <c r="H489" s="2">
        <v>43143</v>
      </c>
      <c r="I489" t="s">
        <v>16</v>
      </c>
      <c r="J489">
        <v>155.57</v>
      </c>
      <c r="K489">
        <v>28.05</v>
      </c>
      <c r="L489">
        <v>127.52</v>
      </c>
      <c r="M489">
        <v>9</v>
      </c>
      <c r="N489" s="3">
        <v>1147.68</v>
      </c>
      <c r="O489" s="1" t="s">
        <v>71</v>
      </c>
    </row>
    <row r="490" spans="1:15" ht="15">
      <c r="A490" s="6" t="s">
        <v>140</v>
      </c>
      <c r="B490">
        <v>205</v>
      </c>
      <c r="C490" s="2">
        <v>43152</v>
      </c>
      <c r="D490" t="str">
        <f>"004810034271"</f>
        <v>004810034271</v>
      </c>
      <c r="E490" s="2">
        <v>43106</v>
      </c>
      <c r="F490">
        <v>0</v>
      </c>
      <c r="G490" s="2">
        <v>43152</v>
      </c>
      <c r="H490" s="2">
        <v>43143</v>
      </c>
      <c r="I490" t="s">
        <v>16</v>
      </c>
      <c r="J490" s="3">
        <v>2043.22</v>
      </c>
      <c r="K490">
        <v>368.45</v>
      </c>
      <c r="L490" s="3">
        <v>1674.77</v>
      </c>
      <c r="M490">
        <v>9</v>
      </c>
      <c r="N490" s="3">
        <v>15072.93</v>
      </c>
      <c r="O490" s="1" t="s">
        <v>71</v>
      </c>
    </row>
    <row r="491" spans="1:15" ht="15">
      <c r="A491" s="6" t="s">
        <v>140</v>
      </c>
      <c r="B491">
        <v>205</v>
      </c>
      <c r="C491" s="2">
        <v>43152</v>
      </c>
      <c r="D491" t="str">
        <f>"004810040312"</f>
        <v>004810040312</v>
      </c>
      <c r="E491" s="2">
        <v>43106</v>
      </c>
      <c r="F491">
        <v>0</v>
      </c>
      <c r="G491" s="2">
        <v>43152</v>
      </c>
      <c r="H491" s="2">
        <v>43143</v>
      </c>
      <c r="I491" t="s">
        <v>16</v>
      </c>
      <c r="J491">
        <v>251.39</v>
      </c>
      <c r="K491">
        <v>45.33</v>
      </c>
      <c r="L491">
        <v>206.06</v>
      </c>
      <c r="M491">
        <v>9</v>
      </c>
      <c r="N491" s="3">
        <v>1854.54</v>
      </c>
      <c r="O491" s="1" t="s">
        <v>71</v>
      </c>
    </row>
    <row r="492" spans="1:15" ht="15">
      <c r="A492" s="6" t="s">
        <v>140</v>
      </c>
      <c r="B492">
        <v>205</v>
      </c>
      <c r="C492" s="2">
        <v>43152</v>
      </c>
      <c r="D492" t="str">
        <f>"004810040292"</f>
        <v>004810040292</v>
      </c>
      <c r="E492" s="2">
        <v>43106</v>
      </c>
      <c r="F492">
        <v>0</v>
      </c>
      <c r="G492" s="2">
        <v>43152</v>
      </c>
      <c r="H492" s="2">
        <v>43143</v>
      </c>
      <c r="I492" t="s">
        <v>16</v>
      </c>
      <c r="J492">
        <v>83.44</v>
      </c>
      <c r="K492">
        <v>15.05</v>
      </c>
      <c r="L492">
        <v>68.39</v>
      </c>
      <c r="M492">
        <v>9</v>
      </c>
      <c r="N492">
        <v>615.51</v>
      </c>
      <c r="O492" s="1" t="s">
        <v>71</v>
      </c>
    </row>
    <row r="493" spans="1:15" ht="15">
      <c r="A493" s="6" t="s">
        <v>140</v>
      </c>
      <c r="B493">
        <v>205</v>
      </c>
      <c r="C493" s="2">
        <v>43152</v>
      </c>
      <c r="D493" t="str">
        <f>"004810040310"</f>
        <v>004810040310</v>
      </c>
      <c r="E493" s="2">
        <v>43106</v>
      </c>
      <c r="F493">
        <v>0</v>
      </c>
      <c r="G493" s="2">
        <v>43152</v>
      </c>
      <c r="H493" s="2">
        <v>43143</v>
      </c>
      <c r="I493" t="s">
        <v>16</v>
      </c>
      <c r="J493">
        <v>383.69</v>
      </c>
      <c r="K493">
        <v>69.19</v>
      </c>
      <c r="L493">
        <v>314.5</v>
      </c>
      <c r="M493">
        <v>9</v>
      </c>
      <c r="N493" s="3">
        <v>2830.5</v>
      </c>
      <c r="O493" s="1" t="s">
        <v>71</v>
      </c>
    </row>
    <row r="494" spans="1:15" ht="15">
      <c r="A494" s="6" t="s">
        <v>140</v>
      </c>
      <c r="B494">
        <v>205</v>
      </c>
      <c r="C494" s="2">
        <v>43152</v>
      </c>
      <c r="D494" t="str">
        <f>"004810040326"</f>
        <v>004810040326</v>
      </c>
      <c r="E494" s="2">
        <v>43106</v>
      </c>
      <c r="F494">
        <v>0</v>
      </c>
      <c r="G494" s="2">
        <v>43152</v>
      </c>
      <c r="H494" s="2">
        <v>43143</v>
      </c>
      <c r="I494" t="s">
        <v>16</v>
      </c>
      <c r="J494">
        <v>36.28</v>
      </c>
      <c r="K494">
        <v>6.54</v>
      </c>
      <c r="L494">
        <v>29.74</v>
      </c>
      <c r="M494">
        <v>9</v>
      </c>
      <c r="N494">
        <v>267.66</v>
      </c>
      <c r="O494" s="1" t="s">
        <v>71</v>
      </c>
    </row>
    <row r="495" spans="1:15" ht="15">
      <c r="A495" s="6" t="s">
        <v>140</v>
      </c>
      <c r="B495">
        <v>205</v>
      </c>
      <c r="C495" s="2">
        <v>43152</v>
      </c>
      <c r="D495" t="str">
        <f>"004810040320"</f>
        <v>004810040320</v>
      </c>
      <c r="E495" s="2">
        <v>43106</v>
      </c>
      <c r="F495">
        <v>0</v>
      </c>
      <c r="G495" s="2">
        <v>43152</v>
      </c>
      <c r="H495" s="2">
        <v>43143</v>
      </c>
      <c r="I495" t="s">
        <v>16</v>
      </c>
      <c r="J495">
        <v>60.39</v>
      </c>
      <c r="K495">
        <v>10.89</v>
      </c>
      <c r="L495">
        <v>49.5</v>
      </c>
      <c r="M495">
        <v>9</v>
      </c>
      <c r="N495">
        <v>445.5</v>
      </c>
      <c r="O495" s="1" t="s">
        <v>71</v>
      </c>
    </row>
    <row r="496" spans="1:15" ht="15">
      <c r="A496" s="6" t="s">
        <v>140</v>
      </c>
      <c r="B496">
        <v>209</v>
      </c>
      <c r="C496" s="2">
        <v>43152</v>
      </c>
      <c r="D496" t="str">
        <f>"004810034269"</f>
        <v>004810034269</v>
      </c>
      <c r="E496" s="2">
        <v>43106</v>
      </c>
      <c r="F496">
        <v>0</v>
      </c>
      <c r="G496" s="2">
        <v>43152</v>
      </c>
      <c r="H496" s="2">
        <v>43143</v>
      </c>
      <c r="I496" t="s">
        <v>16</v>
      </c>
      <c r="J496">
        <v>81.94</v>
      </c>
      <c r="K496">
        <v>14.78</v>
      </c>
      <c r="L496">
        <v>67.16</v>
      </c>
      <c r="M496">
        <v>9</v>
      </c>
      <c r="N496">
        <v>604.44</v>
      </c>
      <c r="O496" s="1" t="s">
        <v>71</v>
      </c>
    </row>
    <row r="497" spans="1:15" ht="15">
      <c r="A497" s="6" t="s">
        <v>140</v>
      </c>
      <c r="B497">
        <v>205</v>
      </c>
      <c r="C497" s="2">
        <v>43152</v>
      </c>
      <c r="D497" t="str">
        <f>"004810040314"</f>
        <v>004810040314</v>
      </c>
      <c r="E497" s="2">
        <v>43106</v>
      </c>
      <c r="F497">
        <v>0</v>
      </c>
      <c r="G497" s="2">
        <v>43152</v>
      </c>
      <c r="H497" s="2">
        <v>43143</v>
      </c>
      <c r="I497" t="s">
        <v>16</v>
      </c>
      <c r="J497">
        <v>305.79</v>
      </c>
      <c r="K497">
        <v>55.14</v>
      </c>
      <c r="L497">
        <v>250.65</v>
      </c>
      <c r="M497">
        <v>9</v>
      </c>
      <c r="N497" s="3">
        <v>2255.85</v>
      </c>
      <c r="O497" s="1" t="s">
        <v>71</v>
      </c>
    </row>
    <row r="498" spans="1:15" ht="15">
      <c r="A498" s="6" t="s">
        <v>140</v>
      </c>
      <c r="B498">
        <v>211</v>
      </c>
      <c r="C498" s="2">
        <v>43152</v>
      </c>
      <c r="D498" t="str">
        <f>"004810034281"</f>
        <v>004810034281</v>
      </c>
      <c r="E498" s="2">
        <v>43106</v>
      </c>
      <c r="F498">
        <v>0</v>
      </c>
      <c r="G498" s="2">
        <v>43152</v>
      </c>
      <c r="H498" s="2">
        <v>43143</v>
      </c>
      <c r="I498" t="s">
        <v>16</v>
      </c>
      <c r="J498">
        <v>183.13</v>
      </c>
      <c r="K498">
        <v>33.02</v>
      </c>
      <c r="L498">
        <v>150.11</v>
      </c>
      <c r="M498">
        <v>9</v>
      </c>
      <c r="N498" s="3">
        <v>1350.99</v>
      </c>
      <c r="O498" s="1" t="s">
        <v>71</v>
      </c>
    </row>
    <row r="499" spans="1:15" ht="15">
      <c r="A499" s="6" t="s">
        <v>140</v>
      </c>
      <c r="B499">
        <v>204</v>
      </c>
      <c r="C499" s="2">
        <v>43152</v>
      </c>
      <c r="D499" t="str">
        <f>"004810034283"</f>
        <v>004810034283</v>
      </c>
      <c r="E499" s="2">
        <v>43106</v>
      </c>
      <c r="F499">
        <v>0</v>
      </c>
      <c r="G499" s="2">
        <v>43152</v>
      </c>
      <c r="H499" s="2">
        <v>43143</v>
      </c>
      <c r="I499" t="s">
        <v>16</v>
      </c>
      <c r="J499">
        <v>40.15</v>
      </c>
      <c r="K499">
        <v>7.24</v>
      </c>
      <c r="L499">
        <v>32.91</v>
      </c>
      <c r="M499">
        <v>9</v>
      </c>
      <c r="N499">
        <v>296.19</v>
      </c>
      <c r="O499" s="1" t="s">
        <v>71</v>
      </c>
    </row>
    <row r="500" spans="1:15" ht="15">
      <c r="A500" s="6" t="s">
        <v>140</v>
      </c>
      <c r="B500">
        <v>213</v>
      </c>
      <c r="C500" s="2">
        <v>43152</v>
      </c>
      <c r="D500" t="str">
        <f>"004810034279"</f>
        <v>004810034279</v>
      </c>
      <c r="E500" s="2">
        <v>43106</v>
      </c>
      <c r="F500">
        <v>0</v>
      </c>
      <c r="G500" s="2">
        <v>43152</v>
      </c>
      <c r="H500" s="2">
        <v>43143</v>
      </c>
      <c r="I500" t="s">
        <v>16</v>
      </c>
      <c r="J500">
        <v>240.79</v>
      </c>
      <c r="K500">
        <v>43.42</v>
      </c>
      <c r="L500">
        <v>197.37</v>
      </c>
      <c r="M500">
        <v>9</v>
      </c>
      <c r="N500" s="3">
        <v>1776.33</v>
      </c>
      <c r="O500" s="1" t="s">
        <v>71</v>
      </c>
    </row>
    <row r="501" spans="1:15" ht="15">
      <c r="A501" s="6" t="s">
        <v>140</v>
      </c>
      <c r="B501">
        <v>211</v>
      </c>
      <c r="C501" s="2">
        <v>43152</v>
      </c>
      <c r="D501" t="str">
        <f>"004810034286"</f>
        <v>004810034286</v>
      </c>
      <c r="E501" s="2">
        <v>43106</v>
      </c>
      <c r="F501">
        <v>0</v>
      </c>
      <c r="G501" s="2">
        <v>43152</v>
      </c>
      <c r="H501" s="2">
        <v>43143</v>
      </c>
      <c r="I501" t="s">
        <v>16</v>
      </c>
      <c r="J501">
        <v>96.47</v>
      </c>
      <c r="K501">
        <v>17.4</v>
      </c>
      <c r="L501">
        <v>79.07</v>
      </c>
      <c r="M501">
        <v>9</v>
      </c>
      <c r="N501">
        <v>711.63</v>
      </c>
      <c r="O501" s="1" t="s">
        <v>71</v>
      </c>
    </row>
    <row r="502" spans="1:15" ht="15">
      <c r="A502" s="6" t="s">
        <v>109</v>
      </c>
      <c r="B502">
        <v>83</v>
      </c>
      <c r="C502" s="2">
        <v>43138</v>
      </c>
      <c r="D502" t="s">
        <v>206</v>
      </c>
      <c r="E502" s="2">
        <v>43039</v>
      </c>
      <c r="F502">
        <v>0</v>
      </c>
      <c r="G502" s="2">
        <v>43138</v>
      </c>
      <c r="H502" s="2">
        <v>43129</v>
      </c>
      <c r="I502" t="s">
        <v>16</v>
      </c>
      <c r="J502" s="3">
        <v>36685.39</v>
      </c>
      <c r="K502" s="3">
        <v>3335.04</v>
      </c>
      <c r="L502" s="3">
        <v>33350.35</v>
      </c>
      <c r="M502">
        <v>9</v>
      </c>
      <c r="N502" s="3">
        <v>300153.15</v>
      </c>
      <c r="O502" s="1" t="s">
        <v>111</v>
      </c>
    </row>
    <row r="503" spans="1:15" ht="15">
      <c r="A503" s="6" t="s">
        <v>61</v>
      </c>
      <c r="B503">
        <v>115</v>
      </c>
      <c r="C503" s="2">
        <v>43139</v>
      </c>
      <c r="D503" t="s">
        <v>207</v>
      </c>
      <c r="E503" s="2">
        <v>43039</v>
      </c>
      <c r="F503">
        <v>0</v>
      </c>
      <c r="G503" s="2">
        <v>43139</v>
      </c>
      <c r="H503" s="2">
        <v>43131</v>
      </c>
      <c r="I503" t="s">
        <v>16</v>
      </c>
      <c r="J503">
        <v>515.69</v>
      </c>
      <c r="K503">
        <v>24.56</v>
      </c>
      <c r="L503">
        <v>491.13</v>
      </c>
      <c r="M503">
        <v>8</v>
      </c>
      <c r="N503" s="3">
        <v>3929.04</v>
      </c>
      <c r="O503" s="1" t="s">
        <v>63</v>
      </c>
    </row>
    <row r="504" spans="1:15" ht="15">
      <c r="A504" s="6" t="s">
        <v>61</v>
      </c>
      <c r="B504">
        <v>116</v>
      </c>
      <c r="C504" s="2">
        <v>43139</v>
      </c>
      <c r="D504" t="s">
        <v>208</v>
      </c>
      <c r="E504" s="2">
        <v>43039</v>
      </c>
      <c r="F504">
        <v>0</v>
      </c>
      <c r="G504" s="2">
        <v>43139</v>
      </c>
      <c r="H504" s="2">
        <v>43131</v>
      </c>
      <c r="I504" t="s">
        <v>16</v>
      </c>
      <c r="J504">
        <v>305.59</v>
      </c>
      <c r="K504">
        <v>14.55</v>
      </c>
      <c r="L504">
        <v>291.04</v>
      </c>
      <c r="M504">
        <v>8</v>
      </c>
      <c r="N504" s="3">
        <v>2328.32</v>
      </c>
      <c r="O504" s="1" t="s">
        <v>63</v>
      </c>
    </row>
    <row r="505" spans="1:15" ht="15">
      <c r="A505" s="6" t="s">
        <v>61</v>
      </c>
      <c r="B505">
        <v>115</v>
      </c>
      <c r="C505" s="2">
        <v>43139</v>
      </c>
      <c r="D505" t="s">
        <v>209</v>
      </c>
      <c r="E505" s="2">
        <v>43039</v>
      </c>
      <c r="F505">
        <v>0</v>
      </c>
      <c r="G505" s="2">
        <v>43139</v>
      </c>
      <c r="H505" s="2">
        <v>43131</v>
      </c>
      <c r="I505" t="s">
        <v>16</v>
      </c>
      <c r="J505">
        <v>505.01</v>
      </c>
      <c r="K505">
        <v>24.05</v>
      </c>
      <c r="L505">
        <v>480.96</v>
      </c>
      <c r="M505">
        <v>8</v>
      </c>
      <c r="N505" s="3">
        <v>3847.68</v>
      </c>
      <c r="O505" s="1" t="s">
        <v>63</v>
      </c>
    </row>
    <row r="506" spans="1:15" ht="15">
      <c r="A506" s="6" t="s">
        <v>61</v>
      </c>
      <c r="B506">
        <v>115</v>
      </c>
      <c r="C506" s="2">
        <v>43139</v>
      </c>
      <c r="D506" t="s">
        <v>210</v>
      </c>
      <c r="E506" s="2">
        <v>43039</v>
      </c>
      <c r="F506">
        <v>0</v>
      </c>
      <c r="G506" s="2">
        <v>43139</v>
      </c>
      <c r="H506" s="2">
        <v>43131</v>
      </c>
      <c r="I506" t="s">
        <v>16</v>
      </c>
      <c r="J506" s="3">
        <v>1155.53</v>
      </c>
      <c r="K506">
        <v>55.03</v>
      </c>
      <c r="L506" s="3">
        <v>1100.5</v>
      </c>
      <c r="M506">
        <v>8</v>
      </c>
      <c r="N506" s="3">
        <v>8804</v>
      </c>
      <c r="O506" s="1" t="s">
        <v>63</v>
      </c>
    </row>
    <row r="507" spans="1:15" ht="15">
      <c r="A507" s="6" t="s">
        <v>140</v>
      </c>
      <c r="B507">
        <v>393</v>
      </c>
      <c r="C507" s="2">
        <v>43186</v>
      </c>
      <c r="D507" t="str">
        <f>"004810277091"</f>
        <v>004810277091</v>
      </c>
      <c r="E507" s="2">
        <v>43142</v>
      </c>
      <c r="F507">
        <v>0</v>
      </c>
      <c r="G507" s="2">
        <v>43186</v>
      </c>
      <c r="H507" s="2">
        <v>43178</v>
      </c>
      <c r="I507" t="s">
        <v>16</v>
      </c>
      <c r="J507">
        <v>29.78</v>
      </c>
      <c r="K507">
        <v>5.37</v>
      </c>
      <c r="L507">
        <v>24.41</v>
      </c>
      <c r="M507">
        <v>8</v>
      </c>
      <c r="N507">
        <v>195.28</v>
      </c>
      <c r="O507" s="1" t="s">
        <v>71</v>
      </c>
    </row>
    <row r="508" spans="1:15" ht="15">
      <c r="A508" s="6" t="s">
        <v>140</v>
      </c>
      <c r="B508">
        <v>397</v>
      </c>
      <c r="C508" s="2">
        <v>43186</v>
      </c>
      <c r="D508" t="str">
        <f>"004810277092"</f>
        <v>004810277092</v>
      </c>
      <c r="E508" s="2">
        <v>43142</v>
      </c>
      <c r="F508">
        <v>0</v>
      </c>
      <c r="G508" s="2">
        <v>43186</v>
      </c>
      <c r="H508" s="2">
        <v>43178</v>
      </c>
      <c r="I508" t="s">
        <v>16</v>
      </c>
      <c r="J508" s="3">
        <v>3622.84</v>
      </c>
      <c r="K508">
        <v>653.3</v>
      </c>
      <c r="L508" s="3">
        <v>2969.54</v>
      </c>
      <c r="M508">
        <v>8</v>
      </c>
      <c r="N508" s="3">
        <v>23756.32</v>
      </c>
      <c r="O508" s="1" t="s">
        <v>71</v>
      </c>
    </row>
    <row r="509" spans="1:15" ht="15">
      <c r="A509" s="6" t="s">
        <v>78</v>
      </c>
      <c r="B509">
        <v>100</v>
      </c>
      <c r="C509" s="2">
        <v>43138</v>
      </c>
      <c r="D509" t="s">
        <v>211</v>
      </c>
      <c r="E509" s="2">
        <v>43081</v>
      </c>
      <c r="F509">
        <v>0</v>
      </c>
      <c r="G509" s="2">
        <v>43138</v>
      </c>
      <c r="H509" s="2">
        <v>43131</v>
      </c>
      <c r="I509" t="s">
        <v>16</v>
      </c>
      <c r="J509">
        <v>85.4</v>
      </c>
      <c r="K509">
        <v>15.4</v>
      </c>
      <c r="L509">
        <v>70</v>
      </c>
      <c r="M509">
        <v>7</v>
      </c>
      <c r="N509">
        <v>490</v>
      </c>
      <c r="O509" s="1" t="s">
        <v>30</v>
      </c>
    </row>
    <row r="510" spans="1:15" ht="15">
      <c r="A510" s="6" t="s">
        <v>109</v>
      </c>
      <c r="B510">
        <v>261</v>
      </c>
      <c r="C510" s="2">
        <v>43165</v>
      </c>
      <c r="D510" t="s">
        <v>212</v>
      </c>
      <c r="E510" s="2">
        <v>43069</v>
      </c>
      <c r="F510">
        <v>0</v>
      </c>
      <c r="G510" s="2">
        <v>43166</v>
      </c>
      <c r="H510" s="2">
        <v>43159</v>
      </c>
      <c r="I510" t="s">
        <v>16</v>
      </c>
      <c r="J510">
        <v>732</v>
      </c>
      <c r="K510">
        <v>132</v>
      </c>
      <c r="L510">
        <v>600</v>
      </c>
      <c r="M510">
        <v>7</v>
      </c>
      <c r="N510" s="3">
        <v>4200</v>
      </c>
      <c r="O510" s="1" t="s">
        <v>111</v>
      </c>
    </row>
    <row r="511" spans="1:15" ht="15">
      <c r="A511" s="6" t="s">
        <v>109</v>
      </c>
      <c r="B511">
        <v>259</v>
      </c>
      <c r="C511" s="2">
        <v>43165</v>
      </c>
      <c r="D511" t="s">
        <v>213</v>
      </c>
      <c r="E511" s="2">
        <v>43069</v>
      </c>
      <c r="F511">
        <v>0</v>
      </c>
      <c r="G511" s="2">
        <v>43166</v>
      </c>
      <c r="H511" s="2">
        <v>43159</v>
      </c>
      <c r="I511" t="s">
        <v>16</v>
      </c>
      <c r="J511" s="3">
        <v>36685.39</v>
      </c>
      <c r="K511" s="3">
        <v>3335.04</v>
      </c>
      <c r="L511" s="3">
        <v>33350.35</v>
      </c>
      <c r="M511">
        <v>7</v>
      </c>
      <c r="N511" s="3">
        <v>233452.45</v>
      </c>
      <c r="O511" s="1" t="s">
        <v>111</v>
      </c>
    </row>
    <row r="512" spans="1:15" ht="15">
      <c r="A512" s="6" t="s">
        <v>167</v>
      </c>
      <c r="B512">
        <v>86</v>
      </c>
      <c r="C512" s="2">
        <v>43138</v>
      </c>
      <c r="D512" t="s">
        <v>214</v>
      </c>
      <c r="E512" s="2">
        <v>43059</v>
      </c>
      <c r="F512">
        <v>0</v>
      </c>
      <c r="G512" s="2">
        <v>43138</v>
      </c>
      <c r="H512" s="2">
        <v>43131</v>
      </c>
      <c r="I512" t="s">
        <v>16</v>
      </c>
      <c r="J512">
        <v>6.35</v>
      </c>
      <c r="K512">
        <v>1.15</v>
      </c>
      <c r="L512">
        <v>5.2</v>
      </c>
      <c r="M512">
        <v>7</v>
      </c>
      <c r="N512">
        <v>36.4</v>
      </c>
      <c r="O512" s="1" t="s">
        <v>143</v>
      </c>
    </row>
    <row r="513" spans="1:15" ht="15">
      <c r="A513" s="6" t="s">
        <v>167</v>
      </c>
      <c r="B513">
        <v>87</v>
      </c>
      <c r="C513" s="2">
        <v>43138</v>
      </c>
      <c r="D513" t="s">
        <v>214</v>
      </c>
      <c r="E513" s="2">
        <v>43059</v>
      </c>
      <c r="F513">
        <v>0</v>
      </c>
      <c r="G513" s="2">
        <v>43138</v>
      </c>
      <c r="H513" s="2">
        <v>43131</v>
      </c>
      <c r="I513" t="s">
        <v>16</v>
      </c>
      <c r="J513">
        <v>232.06</v>
      </c>
      <c r="K513">
        <v>41.84</v>
      </c>
      <c r="L513">
        <v>190.22</v>
      </c>
      <c r="M513">
        <v>7</v>
      </c>
      <c r="N513" s="3">
        <v>1331.54</v>
      </c>
      <c r="O513" s="1" t="s">
        <v>143</v>
      </c>
    </row>
    <row r="514" spans="1:15" ht="28.8">
      <c r="A514" s="6" t="s">
        <v>215</v>
      </c>
      <c r="B514">
        <v>92</v>
      </c>
      <c r="C514" s="2">
        <v>43138</v>
      </c>
      <c r="D514" t="str">
        <f>"001439"</f>
        <v>001439</v>
      </c>
      <c r="E514" s="2">
        <v>43069</v>
      </c>
      <c r="F514">
        <v>0</v>
      </c>
      <c r="G514" s="2">
        <v>43138</v>
      </c>
      <c r="H514" s="2">
        <v>43131</v>
      </c>
      <c r="I514" t="s">
        <v>16</v>
      </c>
      <c r="J514">
        <v>146.4</v>
      </c>
      <c r="K514">
        <v>26.4</v>
      </c>
      <c r="L514">
        <v>120</v>
      </c>
      <c r="M514">
        <v>7</v>
      </c>
      <c r="N514">
        <v>840</v>
      </c>
      <c r="O514" s="1" t="s">
        <v>180</v>
      </c>
    </row>
    <row r="515" spans="1:15" ht="15">
      <c r="A515" s="6" t="s">
        <v>216</v>
      </c>
      <c r="B515">
        <v>105</v>
      </c>
      <c r="C515" s="2">
        <v>43138</v>
      </c>
      <c r="D515" t="s">
        <v>217</v>
      </c>
      <c r="E515" s="2">
        <v>43091</v>
      </c>
      <c r="F515">
        <v>0</v>
      </c>
      <c r="G515" s="2">
        <v>43138</v>
      </c>
      <c r="H515" s="2">
        <v>43131</v>
      </c>
      <c r="I515" t="s">
        <v>16</v>
      </c>
      <c r="J515">
        <v>158.84</v>
      </c>
      <c r="K515">
        <v>28.64</v>
      </c>
      <c r="L515">
        <v>130.2</v>
      </c>
      <c r="M515">
        <v>7</v>
      </c>
      <c r="N515">
        <v>911.4</v>
      </c>
      <c r="O515" s="1" t="s">
        <v>162</v>
      </c>
    </row>
    <row r="516" spans="1:15" ht="15">
      <c r="A516" s="6" t="s">
        <v>133</v>
      </c>
      <c r="B516">
        <v>88</v>
      </c>
      <c r="C516" s="2">
        <v>43138</v>
      </c>
      <c r="D516" t="str">
        <f>"504"</f>
        <v>504</v>
      </c>
      <c r="E516" s="2">
        <v>43069</v>
      </c>
      <c r="F516">
        <v>0</v>
      </c>
      <c r="G516" s="2">
        <v>43138</v>
      </c>
      <c r="H516" s="2">
        <v>43131</v>
      </c>
      <c r="I516" t="s">
        <v>16</v>
      </c>
      <c r="J516">
        <v>169.87</v>
      </c>
      <c r="K516">
        <v>30.63</v>
      </c>
      <c r="L516">
        <v>139.24</v>
      </c>
      <c r="M516">
        <v>7</v>
      </c>
      <c r="N516">
        <v>974.68</v>
      </c>
      <c r="O516" s="1" t="s">
        <v>134</v>
      </c>
    </row>
    <row r="517" spans="1:15" ht="15">
      <c r="A517" s="6" t="s">
        <v>218</v>
      </c>
      <c r="B517">
        <v>14</v>
      </c>
      <c r="C517" s="2">
        <v>43123</v>
      </c>
      <c r="D517" t="s">
        <v>219</v>
      </c>
      <c r="E517" s="2">
        <v>43069</v>
      </c>
      <c r="F517">
        <v>0</v>
      </c>
      <c r="G517" s="2">
        <v>43123</v>
      </c>
      <c r="H517" s="2">
        <v>43117</v>
      </c>
      <c r="I517" t="s">
        <v>16</v>
      </c>
      <c r="J517">
        <v>150.6</v>
      </c>
      <c r="K517">
        <v>27.16</v>
      </c>
      <c r="L517">
        <v>123.44</v>
      </c>
      <c r="M517">
        <v>6</v>
      </c>
      <c r="N517">
        <v>740.64</v>
      </c>
      <c r="O517" s="1" t="s">
        <v>32</v>
      </c>
    </row>
    <row r="518" spans="1:15" ht="15">
      <c r="A518" s="6" t="s">
        <v>218</v>
      </c>
      <c r="B518">
        <v>15</v>
      </c>
      <c r="C518" s="2">
        <v>43123</v>
      </c>
      <c r="D518" t="s">
        <v>219</v>
      </c>
      <c r="E518" s="2">
        <v>43069</v>
      </c>
      <c r="F518">
        <v>0</v>
      </c>
      <c r="G518" s="2">
        <v>43123</v>
      </c>
      <c r="H518" s="2">
        <v>43117</v>
      </c>
      <c r="I518" t="s">
        <v>16</v>
      </c>
      <c r="J518">
        <v>33.13</v>
      </c>
      <c r="K518">
        <v>5.97</v>
      </c>
      <c r="L518">
        <v>27.16</v>
      </c>
      <c r="M518">
        <v>6</v>
      </c>
      <c r="N518">
        <v>162.96</v>
      </c>
      <c r="O518" s="1" t="s">
        <v>32</v>
      </c>
    </row>
    <row r="519" spans="1:15" ht="15">
      <c r="A519" s="6" t="s">
        <v>70</v>
      </c>
      <c r="B519">
        <v>132</v>
      </c>
      <c r="C519" s="2">
        <v>43144</v>
      </c>
      <c r="D519" t="str">
        <f>"433"</f>
        <v>433</v>
      </c>
      <c r="E519" s="2">
        <v>43098</v>
      </c>
      <c r="F519">
        <v>0</v>
      </c>
      <c r="G519" s="2">
        <v>43145</v>
      </c>
      <c r="H519" s="2">
        <v>43140</v>
      </c>
      <c r="I519" t="s">
        <v>16</v>
      </c>
      <c r="J519">
        <v>146.4</v>
      </c>
      <c r="K519">
        <v>26.4</v>
      </c>
      <c r="L519">
        <v>120</v>
      </c>
      <c r="M519">
        <v>5</v>
      </c>
      <c r="N519">
        <v>600</v>
      </c>
      <c r="O519" s="1" t="s">
        <v>71</v>
      </c>
    </row>
    <row r="520" spans="1:15" ht="15">
      <c r="A520" s="6" t="s">
        <v>140</v>
      </c>
      <c r="B520">
        <v>202</v>
      </c>
      <c r="C520" s="2">
        <v>43152</v>
      </c>
      <c r="D520" t="str">
        <f>"004810040333"</f>
        <v>004810040333</v>
      </c>
      <c r="E520" s="2">
        <v>43106</v>
      </c>
      <c r="F520">
        <v>0</v>
      </c>
      <c r="G520" s="2">
        <v>43152</v>
      </c>
      <c r="H520" s="2">
        <v>43147</v>
      </c>
      <c r="I520" t="s">
        <v>16</v>
      </c>
      <c r="J520">
        <v>45.13</v>
      </c>
      <c r="K520">
        <v>8.14</v>
      </c>
      <c r="L520">
        <v>36.99</v>
      </c>
      <c r="M520">
        <v>5</v>
      </c>
      <c r="N520">
        <v>184.95</v>
      </c>
      <c r="O520" s="1" t="s">
        <v>71</v>
      </c>
    </row>
    <row r="521" spans="1:15" ht="15">
      <c r="A521" s="6" t="s">
        <v>140</v>
      </c>
      <c r="B521">
        <v>206</v>
      </c>
      <c r="C521" s="2">
        <v>43152</v>
      </c>
      <c r="D521" t="str">
        <f>"004810040334"</f>
        <v>004810040334</v>
      </c>
      <c r="E521" s="2">
        <v>43106</v>
      </c>
      <c r="F521">
        <v>0</v>
      </c>
      <c r="G521" s="2">
        <v>43152</v>
      </c>
      <c r="H521" s="2">
        <v>43147</v>
      </c>
      <c r="I521" t="s">
        <v>16</v>
      </c>
      <c r="J521">
        <v>54.36</v>
      </c>
      <c r="K521">
        <v>9.8</v>
      </c>
      <c r="L521">
        <v>44.56</v>
      </c>
      <c r="M521">
        <v>5</v>
      </c>
      <c r="N521">
        <v>222.8</v>
      </c>
      <c r="O521" s="1" t="s">
        <v>71</v>
      </c>
    </row>
    <row r="522" spans="1:15" ht="15">
      <c r="A522" s="6" t="s">
        <v>140</v>
      </c>
      <c r="B522">
        <v>204</v>
      </c>
      <c r="C522" s="2">
        <v>43152</v>
      </c>
      <c r="D522" t="str">
        <f>"004810034275"</f>
        <v>004810034275</v>
      </c>
      <c r="E522" s="2">
        <v>43106</v>
      </c>
      <c r="F522">
        <v>0</v>
      </c>
      <c r="G522" s="2">
        <v>43152</v>
      </c>
      <c r="H522" s="2">
        <v>43147</v>
      </c>
      <c r="I522" t="s">
        <v>16</v>
      </c>
      <c r="J522">
        <v>22.53</v>
      </c>
      <c r="K522">
        <v>4.06</v>
      </c>
      <c r="L522">
        <v>18.47</v>
      </c>
      <c r="M522">
        <v>5</v>
      </c>
      <c r="N522">
        <v>92.35</v>
      </c>
      <c r="O522" s="1" t="s">
        <v>71</v>
      </c>
    </row>
    <row r="523" spans="1:15" ht="15">
      <c r="A523" s="6" t="s">
        <v>140</v>
      </c>
      <c r="B523">
        <v>206</v>
      </c>
      <c r="C523" s="2">
        <v>43152</v>
      </c>
      <c r="D523" t="str">
        <f>"004810040296"</f>
        <v>004810040296</v>
      </c>
      <c r="E523" s="2">
        <v>43106</v>
      </c>
      <c r="F523">
        <v>0</v>
      </c>
      <c r="G523" s="2">
        <v>43152</v>
      </c>
      <c r="H523" s="2">
        <v>43147</v>
      </c>
      <c r="I523" t="s">
        <v>16</v>
      </c>
      <c r="J523">
        <v>151.57</v>
      </c>
      <c r="K523">
        <v>27.33</v>
      </c>
      <c r="L523">
        <v>124.24</v>
      </c>
      <c r="M523">
        <v>5</v>
      </c>
      <c r="N523">
        <v>621.2</v>
      </c>
      <c r="O523" s="1" t="s">
        <v>71</v>
      </c>
    </row>
    <row r="524" spans="1:15" ht="15">
      <c r="A524" s="6" t="s">
        <v>140</v>
      </c>
      <c r="B524">
        <v>206</v>
      </c>
      <c r="C524" s="2">
        <v>43152</v>
      </c>
      <c r="D524" t="str">
        <f>"004810051278"</f>
        <v>004810051278</v>
      </c>
      <c r="E524" s="2">
        <v>43106</v>
      </c>
      <c r="F524">
        <v>0</v>
      </c>
      <c r="G524" s="2">
        <v>43152</v>
      </c>
      <c r="H524" s="2">
        <v>43147</v>
      </c>
      <c r="I524" t="s">
        <v>16</v>
      </c>
      <c r="J524">
        <v>7.82</v>
      </c>
      <c r="K524">
        <v>1.41</v>
      </c>
      <c r="L524">
        <v>6.41</v>
      </c>
      <c r="M524">
        <v>5</v>
      </c>
      <c r="N524">
        <v>32.05</v>
      </c>
      <c r="O524" s="1" t="s">
        <v>71</v>
      </c>
    </row>
    <row r="525" spans="1:15" ht="15">
      <c r="A525" s="6" t="s">
        <v>140</v>
      </c>
      <c r="B525">
        <v>202</v>
      </c>
      <c r="C525" s="2">
        <v>43152</v>
      </c>
      <c r="D525" t="str">
        <f>"004810034284"</f>
        <v>004810034284</v>
      </c>
      <c r="E525" s="2">
        <v>43106</v>
      </c>
      <c r="F525">
        <v>0</v>
      </c>
      <c r="G525" s="2">
        <v>43152</v>
      </c>
      <c r="H525" s="2">
        <v>43147</v>
      </c>
      <c r="I525" t="s">
        <v>16</v>
      </c>
      <c r="J525">
        <v>4.88</v>
      </c>
      <c r="K525">
        <v>0.88</v>
      </c>
      <c r="L525">
        <v>4</v>
      </c>
      <c r="M525">
        <v>5</v>
      </c>
      <c r="N525">
        <v>20</v>
      </c>
      <c r="O525" s="1" t="s">
        <v>71</v>
      </c>
    </row>
    <row r="526" spans="1:15" ht="15">
      <c r="A526" s="6" t="s">
        <v>140</v>
      </c>
      <c r="B526">
        <v>202</v>
      </c>
      <c r="C526" s="2">
        <v>43152</v>
      </c>
      <c r="D526" t="str">
        <f>"004810034278"</f>
        <v>004810034278</v>
      </c>
      <c r="E526" s="2">
        <v>43106</v>
      </c>
      <c r="F526">
        <v>0</v>
      </c>
      <c r="G526" s="2">
        <v>43152</v>
      </c>
      <c r="H526" s="2">
        <v>43147</v>
      </c>
      <c r="I526" t="s">
        <v>16</v>
      </c>
      <c r="J526">
        <v>28.66</v>
      </c>
      <c r="K526">
        <v>5.17</v>
      </c>
      <c r="L526">
        <v>23.49</v>
      </c>
      <c r="M526">
        <v>5</v>
      </c>
      <c r="N526">
        <v>117.45</v>
      </c>
      <c r="O526" s="1" t="s">
        <v>71</v>
      </c>
    </row>
    <row r="527" spans="1:15" ht="15">
      <c r="A527" s="6" t="s">
        <v>140</v>
      </c>
      <c r="B527">
        <v>206</v>
      </c>
      <c r="C527" s="2">
        <v>43152</v>
      </c>
      <c r="D527" t="str">
        <f>"004810051269"</f>
        <v>004810051269</v>
      </c>
      <c r="E527" s="2">
        <v>43106</v>
      </c>
      <c r="F527">
        <v>0</v>
      </c>
      <c r="G527" s="2">
        <v>43152</v>
      </c>
      <c r="H527" s="2">
        <v>43147</v>
      </c>
      <c r="I527" t="s">
        <v>16</v>
      </c>
      <c r="J527">
        <v>40.78</v>
      </c>
      <c r="K527">
        <v>7.35</v>
      </c>
      <c r="L527">
        <v>33.43</v>
      </c>
      <c r="M527">
        <v>5</v>
      </c>
      <c r="N527">
        <v>167.15</v>
      </c>
      <c r="O527" s="1" t="s">
        <v>71</v>
      </c>
    </row>
    <row r="528" spans="1:15" ht="15">
      <c r="A528" s="6" t="s">
        <v>140</v>
      </c>
      <c r="B528">
        <v>205</v>
      </c>
      <c r="C528" s="2">
        <v>43152</v>
      </c>
      <c r="D528" t="str">
        <f>"004810040309"</f>
        <v>004810040309</v>
      </c>
      <c r="E528" s="2">
        <v>43106</v>
      </c>
      <c r="F528">
        <v>0</v>
      </c>
      <c r="G528" s="2">
        <v>43152</v>
      </c>
      <c r="H528" s="2">
        <v>43147</v>
      </c>
      <c r="I528" t="s">
        <v>16</v>
      </c>
      <c r="J528">
        <v>153.31</v>
      </c>
      <c r="K528">
        <v>27.65</v>
      </c>
      <c r="L528">
        <v>125.66</v>
      </c>
      <c r="M528">
        <v>5</v>
      </c>
      <c r="N528">
        <v>628.3</v>
      </c>
      <c r="O528" s="1" t="s">
        <v>71</v>
      </c>
    </row>
    <row r="529" spans="1:15" ht="15">
      <c r="A529" s="6" t="s">
        <v>140</v>
      </c>
      <c r="B529">
        <v>206</v>
      </c>
      <c r="C529" s="2">
        <v>43152</v>
      </c>
      <c r="D529" t="str">
        <f>"004810040324"</f>
        <v>004810040324</v>
      </c>
      <c r="E529" s="2">
        <v>43106</v>
      </c>
      <c r="F529">
        <v>0</v>
      </c>
      <c r="G529" s="2">
        <v>43152</v>
      </c>
      <c r="H529" s="2">
        <v>43147</v>
      </c>
      <c r="I529" t="s">
        <v>16</v>
      </c>
      <c r="J529">
        <v>81.54</v>
      </c>
      <c r="K529">
        <v>14.7</v>
      </c>
      <c r="L529">
        <v>66.84</v>
      </c>
      <c r="M529">
        <v>5</v>
      </c>
      <c r="N529">
        <v>334.2</v>
      </c>
      <c r="O529" s="1" t="s">
        <v>71</v>
      </c>
    </row>
    <row r="530" spans="1:15" ht="15">
      <c r="A530" s="6" t="s">
        <v>140</v>
      </c>
      <c r="B530">
        <v>202</v>
      </c>
      <c r="C530" s="2">
        <v>43152</v>
      </c>
      <c r="D530" t="str">
        <f>"004810034282"</f>
        <v>004810034282</v>
      </c>
      <c r="E530" s="2">
        <v>43106</v>
      </c>
      <c r="F530">
        <v>0</v>
      </c>
      <c r="G530" s="2">
        <v>43152</v>
      </c>
      <c r="H530" s="2">
        <v>43147</v>
      </c>
      <c r="I530" t="s">
        <v>16</v>
      </c>
      <c r="J530">
        <v>111.41</v>
      </c>
      <c r="K530">
        <v>20.09</v>
      </c>
      <c r="L530">
        <v>91.32</v>
      </c>
      <c r="M530">
        <v>5</v>
      </c>
      <c r="N530">
        <v>456.6</v>
      </c>
      <c r="O530" s="1" t="s">
        <v>71</v>
      </c>
    </row>
    <row r="531" spans="1:15" ht="15">
      <c r="A531" s="6" t="s">
        <v>140</v>
      </c>
      <c r="B531">
        <v>206</v>
      </c>
      <c r="C531" s="2">
        <v>43152</v>
      </c>
      <c r="D531" t="str">
        <f>"004810040323"</f>
        <v>004810040323</v>
      </c>
      <c r="E531" s="2">
        <v>43106</v>
      </c>
      <c r="F531">
        <v>0</v>
      </c>
      <c r="G531" s="2">
        <v>43152</v>
      </c>
      <c r="H531" s="2">
        <v>43147</v>
      </c>
      <c r="I531" t="s">
        <v>16</v>
      </c>
      <c r="J531">
        <v>162.6</v>
      </c>
      <c r="K531">
        <v>29.32</v>
      </c>
      <c r="L531">
        <v>133.28</v>
      </c>
      <c r="M531">
        <v>5</v>
      </c>
      <c r="N531">
        <v>666.4</v>
      </c>
      <c r="O531" s="1" t="s">
        <v>71</v>
      </c>
    </row>
    <row r="532" spans="1:15" ht="15">
      <c r="A532" s="6" t="s">
        <v>140</v>
      </c>
      <c r="B532">
        <v>206</v>
      </c>
      <c r="C532" s="2">
        <v>43152</v>
      </c>
      <c r="D532" t="str">
        <f>"004810040291"</f>
        <v>004810040291</v>
      </c>
      <c r="E532" s="2">
        <v>43106</v>
      </c>
      <c r="F532">
        <v>0</v>
      </c>
      <c r="G532" s="2">
        <v>43152</v>
      </c>
      <c r="H532" s="2">
        <v>43147</v>
      </c>
      <c r="I532" t="s">
        <v>16</v>
      </c>
      <c r="J532">
        <v>615.99</v>
      </c>
      <c r="K532">
        <v>111.08</v>
      </c>
      <c r="L532">
        <v>504.91</v>
      </c>
      <c r="M532">
        <v>5</v>
      </c>
      <c r="N532" s="3">
        <v>2524.55</v>
      </c>
      <c r="O532" s="1" t="s">
        <v>71</v>
      </c>
    </row>
    <row r="533" spans="1:15" ht="15">
      <c r="A533" s="6" t="s">
        <v>140</v>
      </c>
      <c r="B533">
        <v>202</v>
      </c>
      <c r="C533" s="2">
        <v>43152</v>
      </c>
      <c r="D533" t="str">
        <f>"004810011604"</f>
        <v>004810011604</v>
      </c>
      <c r="E533" s="2">
        <v>43106</v>
      </c>
      <c r="F533">
        <v>0</v>
      </c>
      <c r="G533" s="2">
        <v>43152</v>
      </c>
      <c r="H533" s="2">
        <v>43147</v>
      </c>
      <c r="I533" t="s">
        <v>16</v>
      </c>
      <c r="J533">
        <v>35.08</v>
      </c>
      <c r="K533">
        <v>6.33</v>
      </c>
      <c r="L533">
        <v>28.75</v>
      </c>
      <c r="M533">
        <v>5</v>
      </c>
      <c r="N533">
        <v>143.75</v>
      </c>
      <c r="O533" s="1" t="s">
        <v>71</v>
      </c>
    </row>
    <row r="534" spans="1:15" ht="15">
      <c r="A534" s="6" t="s">
        <v>140</v>
      </c>
      <c r="B534">
        <v>204</v>
      </c>
      <c r="C534" s="2">
        <v>43152</v>
      </c>
      <c r="D534" t="str">
        <f>"004810034285"</f>
        <v>004810034285</v>
      </c>
      <c r="E534" s="2">
        <v>43106</v>
      </c>
      <c r="F534">
        <v>0</v>
      </c>
      <c r="G534" s="2">
        <v>43152</v>
      </c>
      <c r="H534" s="2">
        <v>43147</v>
      </c>
      <c r="I534" t="s">
        <v>16</v>
      </c>
      <c r="J534">
        <v>45.58</v>
      </c>
      <c r="K534">
        <v>8.22</v>
      </c>
      <c r="L534">
        <v>37.36</v>
      </c>
      <c r="M534">
        <v>5</v>
      </c>
      <c r="N534">
        <v>186.8</v>
      </c>
      <c r="O534" s="1" t="s">
        <v>71</v>
      </c>
    </row>
    <row r="535" spans="1:15" ht="15">
      <c r="A535" s="6" t="s">
        <v>140</v>
      </c>
      <c r="B535">
        <v>206</v>
      </c>
      <c r="C535" s="2">
        <v>43152</v>
      </c>
      <c r="D535" t="str">
        <f>"004810051271"</f>
        <v>004810051271</v>
      </c>
      <c r="E535" s="2">
        <v>43106</v>
      </c>
      <c r="F535">
        <v>0</v>
      </c>
      <c r="G535" s="2">
        <v>43152</v>
      </c>
      <c r="H535" s="2">
        <v>43147</v>
      </c>
      <c r="I535" t="s">
        <v>16</v>
      </c>
      <c r="J535">
        <v>3.78</v>
      </c>
      <c r="K535">
        <v>0.68</v>
      </c>
      <c r="L535">
        <v>3.1</v>
      </c>
      <c r="M535">
        <v>5</v>
      </c>
      <c r="N535">
        <v>15.5</v>
      </c>
      <c r="O535" s="1" t="s">
        <v>71</v>
      </c>
    </row>
    <row r="536" spans="1:15" ht="15">
      <c r="A536" s="6" t="s">
        <v>140</v>
      </c>
      <c r="B536">
        <v>205</v>
      </c>
      <c r="C536" s="2">
        <v>43152</v>
      </c>
      <c r="D536" t="str">
        <f>"004810040307"</f>
        <v>004810040307</v>
      </c>
      <c r="E536" s="2">
        <v>43106</v>
      </c>
      <c r="F536">
        <v>0</v>
      </c>
      <c r="G536" s="2">
        <v>43152</v>
      </c>
      <c r="H536" s="2">
        <v>43147</v>
      </c>
      <c r="I536" t="s">
        <v>16</v>
      </c>
      <c r="J536">
        <v>100.25</v>
      </c>
      <c r="K536">
        <v>18.08</v>
      </c>
      <c r="L536">
        <v>82.17</v>
      </c>
      <c r="M536">
        <v>5</v>
      </c>
      <c r="N536">
        <v>410.85</v>
      </c>
      <c r="O536" s="1" t="s">
        <v>71</v>
      </c>
    </row>
    <row r="537" spans="1:15" ht="15">
      <c r="A537" s="6" t="s">
        <v>140</v>
      </c>
      <c r="B537">
        <v>206</v>
      </c>
      <c r="C537" s="2">
        <v>43152</v>
      </c>
      <c r="D537" t="str">
        <f>"004810051272"</f>
        <v>004810051272</v>
      </c>
      <c r="E537" s="2">
        <v>43106</v>
      </c>
      <c r="F537">
        <v>0</v>
      </c>
      <c r="G537" s="2">
        <v>43152</v>
      </c>
      <c r="H537" s="2">
        <v>43147</v>
      </c>
      <c r="I537" t="s">
        <v>16</v>
      </c>
      <c r="J537">
        <v>54.2</v>
      </c>
      <c r="K537">
        <v>9.77</v>
      </c>
      <c r="L537">
        <v>44.43</v>
      </c>
      <c r="M537">
        <v>5</v>
      </c>
      <c r="N537">
        <v>222.15</v>
      </c>
      <c r="O537" s="1" t="s">
        <v>71</v>
      </c>
    </row>
    <row r="538" spans="1:15" ht="15">
      <c r="A538" s="6" t="s">
        <v>140</v>
      </c>
      <c r="B538">
        <v>203</v>
      </c>
      <c r="C538" s="2">
        <v>43152</v>
      </c>
      <c r="D538" t="str">
        <f>"004810011600"</f>
        <v>004810011600</v>
      </c>
      <c r="E538" s="2">
        <v>43106</v>
      </c>
      <c r="F538">
        <v>0</v>
      </c>
      <c r="G538" s="2">
        <v>43152</v>
      </c>
      <c r="H538" s="2">
        <v>43147</v>
      </c>
      <c r="I538" t="s">
        <v>16</v>
      </c>
      <c r="J538">
        <v>378.82</v>
      </c>
      <c r="K538">
        <v>68.31</v>
      </c>
      <c r="L538">
        <v>310.51</v>
      </c>
      <c r="M538">
        <v>5</v>
      </c>
      <c r="N538" s="3">
        <v>1552.55</v>
      </c>
      <c r="O538" s="1" t="s">
        <v>71</v>
      </c>
    </row>
    <row r="539" spans="1:15" ht="15">
      <c r="A539" s="6" t="s">
        <v>140</v>
      </c>
      <c r="B539">
        <v>205</v>
      </c>
      <c r="C539" s="2">
        <v>43152</v>
      </c>
      <c r="D539" t="str">
        <f>"004810040327"</f>
        <v>004810040327</v>
      </c>
      <c r="E539" s="2">
        <v>43106</v>
      </c>
      <c r="F539">
        <v>0</v>
      </c>
      <c r="G539" s="2">
        <v>43152</v>
      </c>
      <c r="H539" s="2">
        <v>43147</v>
      </c>
      <c r="I539" t="s">
        <v>16</v>
      </c>
      <c r="J539">
        <v>108.23</v>
      </c>
      <c r="K539">
        <v>19.52</v>
      </c>
      <c r="L539">
        <v>88.71</v>
      </c>
      <c r="M539">
        <v>5</v>
      </c>
      <c r="N539">
        <v>443.55</v>
      </c>
      <c r="O539" s="1" t="s">
        <v>71</v>
      </c>
    </row>
    <row r="540" spans="1:15" ht="15">
      <c r="A540" s="6" t="s">
        <v>140</v>
      </c>
      <c r="B540">
        <v>208</v>
      </c>
      <c r="C540" s="2">
        <v>43152</v>
      </c>
      <c r="D540" t="str">
        <f>"004810040303"</f>
        <v>004810040303</v>
      </c>
      <c r="E540" s="2">
        <v>43106</v>
      </c>
      <c r="F540">
        <v>0</v>
      </c>
      <c r="G540" s="2">
        <v>43152</v>
      </c>
      <c r="H540" s="2">
        <v>43147</v>
      </c>
      <c r="I540" t="s">
        <v>16</v>
      </c>
      <c r="J540" s="3">
        <v>3582.59</v>
      </c>
      <c r="K540">
        <v>646.04</v>
      </c>
      <c r="L540" s="3">
        <v>2936.55</v>
      </c>
      <c r="M540">
        <v>5</v>
      </c>
      <c r="N540" s="3">
        <v>14682.75</v>
      </c>
      <c r="O540" s="1" t="s">
        <v>71</v>
      </c>
    </row>
    <row r="541" spans="1:15" ht="15">
      <c r="A541" s="6" t="s">
        <v>140</v>
      </c>
      <c r="B541">
        <v>205</v>
      </c>
      <c r="C541" s="2">
        <v>43152</v>
      </c>
      <c r="D541" t="str">
        <f>"004810040300"</f>
        <v>004810040300</v>
      </c>
      <c r="E541" s="2">
        <v>43106</v>
      </c>
      <c r="F541">
        <v>0</v>
      </c>
      <c r="G541" s="2">
        <v>43152</v>
      </c>
      <c r="H541" s="2">
        <v>43147</v>
      </c>
      <c r="I541" t="s">
        <v>16</v>
      </c>
      <c r="J541">
        <v>166.09</v>
      </c>
      <c r="K541">
        <v>29.95</v>
      </c>
      <c r="L541">
        <v>136.14</v>
      </c>
      <c r="M541">
        <v>5</v>
      </c>
      <c r="N541">
        <v>680.7</v>
      </c>
      <c r="O541" s="1" t="s">
        <v>71</v>
      </c>
    </row>
    <row r="542" spans="1:15" ht="15">
      <c r="A542" s="6" t="s">
        <v>140</v>
      </c>
      <c r="B542">
        <v>206</v>
      </c>
      <c r="C542" s="2">
        <v>43152</v>
      </c>
      <c r="D542" t="str">
        <f>"004810040329"</f>
        <v>004810040329</v>
      </c>
      <c r="E542" s="2">
        <v>43106</v>
      </c>
      <c r="F542">
        <v>0</v>
      </c>
      <c r="G542" s="2">
        <v>43152</v>
      </c>
      <c r="H542" s="2">
        <v>43147</v>
      </c>
      <c r="I542" t="s">
        <v>16</v>
      </c>
      <c r="J542">
        <v>868.1</v>
      </c>
      <c r="K542">
        <v>156.54</v>
      </c>
      <c r="L542">
        <v>711.56</v>
      </c>
      <c r="M542">
        <v>5</v>
      </c>
      <c r="N542" s="3">
        <v>3557.8</v>
      </c>
      <c r="O542" s="1" t="s">
        <v>71</v>
      </c>
    </row>
    <row r="543" spans="1:15" ht="15">
      <c r="A543" s="6" t="s">
        <v>140</v>
      </c>
      <c r="B543">
        <v>206</v>
      </c>
      <c r="C543" s="2">
        <v>43152</v>
      </c>
      <c r="D543" t="str">
        <f>"004810040295"</f>
        <v>004810040295</v>
      </c>
      <c r="E543" s="2">
        <v>43106</v>
      </c>
      <c r="F543">
        <v>0</v>
      </c>
      <c r="G543" s="2">
        <v>43152</v>
      </c>
      <c r="H543" s="2">
        <v>43147</v>
      </c>
      <c r="I543" t="s">
        <v>16</v>
      </c>
      <c r="J543">
        <v>72.14</v>
      </c>
      <c r="K543">
        <v>13.01</v>
      </c>
      <c r="L543">
        <v>59.13</v>
      </c>
      <c r="M543">
        <v>5</v>
      </c>
      <c r="N543">
        <v>295.65</v>
      </c>
      <c r="O543" s="1" t="s">
        <v>71</v>
      </c>
    </row>
    <row r="544" spans="1:15" ht="15">
      <c r="A544" s="6" t="s">
        <v>140</v>
      </c>
      <c r="B544">
        <v>206</v>
      </c>
      <c r="C544" s="2">
        <v>43152</v>
      </c>
      <c r="D544" t="str">
        <f>"004810051273"</f>
        <v>004810051273</v>
      </c>
      <c r="E544" s="2">
        <v>43106</v>
      </c>
      <c r="F544">
        <v>0</v>
      </c>
      <c r="G544" s="2">
        <v>43152</v>
      </c>
      <c r="H544" s="2">
        <v>43147</v>
      </c>
      <c r="I544" t="s">
        <v>16</v>
      </c>
      <c r="J544">
        <v>10.87</v>
      </c>
      <c r="K544">
        <v>1.96</v>
      </c>
      <c r="L544">
        <v>8.91</v>
      </c>
      <c r="M544">
        <v>5</v>
      </c>
      <c r="N544">
        <v>44.55</v>
      </c>
      <c r="O544" s="1" t="s">
        <v>71</v>
      </c>
    </row>
    <row r="545" spans="1:15" ht="15">
      <c r="A545" s="6" t="s">
        <v>140</v>
      </c>
      <c r="B545">
        <v>206</v>
      </c>
      <c r="C545" s="2">
        <v>43152</v>
      </c>
      <c r="D545" t="str">
        <f>"004810040308"</f>
        <v>004810040308</v>
      </c>
      <c r="E545" s="2">
        <v>43106</v>
      </c>
      <c r="F545">
        <v>0</v>
      </c>
      <c r="G545" s="2">
        <v>43152</v>
      </c>
      <c r="H545" s="2">
        <v>43147</v>
      </c>
      <c r="I545" t="s">
        <v>16</v>
      </c>
      <c r="J545">
        <v>172.2</v>
      </c>
      <c r="K545">
        <v>31.05</v>
      </c>
      <c r="L545">
        <v>141.15</v>
      </c>
      <c r="M545">
        <v>5</v>
      </c>
      <c r="N545">
        <v>705.75</v>
      </c>
      <c r="O545" s="1" t="s">
        <v>71</v>
      </c>
    </row>
    <row r="546" spans="1:15" ht="15">
      <c r="A546" s="6" t="s">
        <v>140</v>
      </c>
      <c r="B546">
        <v>202</v>
      </c>
      <c r="C546" s="2">
        <v>43152</v>
      </c>
      <c r="D546" t="str">
        <f>"004810011602"</f>
        <v>004810011602</v>
      </c>
      <c r="E546" s="2">
        <v>43106</v>
      </c>
      <c r="F546">
        <v>0</v>
      </c>
      <c r="G546" s="2">
        <v>43152</v>
      </c>
      <c r="H546" s="2">
        <v>43147</v>
      </c>
      <c r="I546" t="s">
        <v>16</v>
      </c>
      <c r="J546">
        <v>5.64</v>
      </c>
      <c r="K546">
        <v>1.02</v>
      </c>
      <c r="L546">
        <v>4.62</v>
      </c>
      <c r="M546">
        <v>5</v>
      </c>
      <c r="N546">
        <v>23.1</v>
      </c>
      <c r="O546" s="1" t="s">
        <v>71</v>
      </c>
    </row>
    <row r="547" spans="1:15" ht="15">
      <c r="A547" s="6" t="s">
        <v>140</v>
      </c>
      <c r="B547">
        <v>206</v>
      </c>
      <c r="C547" s="2">
        <v>43152</v>
      </c>
      <c r="D547" t="str">
        <f>"004810051275"</f>
        <v>004810051275</v>
      </c>
      <c r="E547" s="2">
        <v>43106</v>
      </c>
      <c r="F547">
        <v>0</v>
      </c>
      <c r="G547" s="2">
        <v>43152</v>
      </c>
      <c r="H547" s="2">
        <v>43147</v>
      </c>
      <c r="I547" t="s">
        <v>16</v>
      </c>
      <c r="J547">
        <v>6.91</v>
      </c>
      <c r="K547">
        <v>1.25</v>
      </c>
      <c r="L547">
        <v>5.66</v>
      </c>
      <c r="M547">
        <v>5</v>
      </c>
      <c r="N547">
        <v>28.3</v>
      </c>
      <c r="O547" s="1" t="s">
        <v>71</v>
      </c>
    </row>
    <row r="548" spans="1:15" ht="15">
      <c r="A548" s="6" t="s">
        <v>140</v>
      </c>
      <c r="B548">
        <v>204</v>
      </c>
      <c r="C548" s="2">
        <v>43152</v>
      </c>
      <c r="D548" t="str">
        <f>"004810034277"</f>
        <v>004810034277</v>
      </c>
      <c r="E548" s="2">
        <v>43106</v>
      </c>
      <c r="F548">
        <v>0</v>
      </c>
      <c r="G548" s="2">
        <v>43152</v>
      </c>
      <c r="H548" s="2">
        <v>43147</v>
      </c>
      <c r="I548" t="s">
        <v>16</v>
      </c>
      <c r="J548">
        <v>64.5</v>
      </c>
      <c r="K548">
        <v>11.63</v>
      </c>
      <c r="L548">
        <v>52.87</v>
      </c>
      <c r="M548">
        <v>5</v>
      </c>
      <c r="N548">
        <v>264.35</v>
      </c>
      <c r="O548" s="1" t="s">
        <v>71</v>
      </c>
    </row>
    <row r="549" spans="1:15" ht="15">
      <c r="A549" s="6" t="s">
        <v>140</v>
      </c>
      <c r="B549">
        <v>205</v>
      </c>
      <c r="C549" s="2">
        <v>43152</v>
      </c>
      <c r="D549" t="str">
        <f>"004810040321"</f>
        <v>004810040321</v>
      </c>
      <c r="E549" s="2">
        <v>43106</v>
      </c>
      <c r="F549">
        <v>0</v>
      </c>
      <c r="G549" s="2">
        <v>43152</v>
      </c>
      <c r="H549" s="2">
        <v>43147</v>
      </c>
      <c r="I549" t="s">
        <v>16</v>
      </c>
      <c r="J549">
        <v>112.62</v>
      </c>
      <c r="K549">
        <v>20.31</v>
      </c>
      <c r="L549">
        <v>92.31</v>
      </c>
      <c r="M549">
        <v>5</v>
      </c>
      <c r="N549">
        <v>461.55</v>
      </c>
      <c r="O549" s="1" t="s">
        <v>71</v>
      </c>
    </row>
    <row r="550" spans="1:15" ht="15">
      <c r="A550" s="6" t="s">
        <v>140</v>
      </c>
      <c r="B550">
        <v>204</v>
      </c>
      <c r="C550" s="2">
        <v>43152</v>
      </c>
      <c r="D550" t="str">
        <f>"004810034270"</f>
        <v>004810034270</v>
      </c>
      <c r="E550" s="2">
        <v>43106</v>
      </c>
      <c r="F550">
        <v>0</v>
      </c>
      <c r="G550" s="2">
        <v>43152</v>
      </c>
      <c r="H550" s="2">
        <v>43147</v>
      </c>
      <c r="I550" t="s">
        <v>16</v>
      </c>
      <c r="J550">
        <v>15.48</v>
      </c>
      <c r="K550">
        <v>2.79</v>
      </c>
      <c r="L550">
        <v>12.69</v>
      </c>
      <c r="M550">
        <v>5</v>
      </c>
      <c r="N550">
        <v>63.45</v>
      </c>
      <c r="O550" s="1" t="s">
        <v>71</v>
      </c>
    </row>
    <row r="551" spans="1:15" ht="15">
      <c r="A551" s="6" t="s">
        <v>140</v>
      </c>
      <c r="B551">
        <v>206</v>
      </c>
      <c r="C551" s="2">
        <v>43152</v>
      </c>
      <c r="D551" t="str">
        <f>"004810040332"</f>
        <v>004810040332</v>
      </c>
      <c r="E551" s="2">
        <v>43106</v>
      </c>
      <c r="F551">
        <v>0</v>
      </c>
      <c r="G551" s="2">
        <v>43152</v>
      </c>
      <c r="H551" s="2">
        <v>43147</v>
      </c>
      <c r="I551" t="s">
        <v>16</v>
      </c>
      <c r="J551">
        <v>124.28</v>
      </c>
      <c r="K551">
        <v>22.41</v>
      </c>
      <c r="L551">
        <v>101.87</v>
      </c>
      <c r="M551">
        <v>5</v>
      </c>
      <c r="N551">
        <v>509.35</v>
      </c>
      <c r="O551" s="1" t="s">
        <v>71</v>
      </c>
    </row>
    <row r="552" spans="1:15" ht="15">
      <c r="A552" s="6" t="s">
        <v>140</v>
      </c>
      <c r="B552">
        <v>206</v>
      </c>
      <c r="C552" s="2">
        <v>43152</v>
      </c>
      <c r="D552" t="str">
        <f>"004810040330"</f>
        <v>004810040330</v>
      </c>
      <c r="E552" s="2">
        <v>43106</v>
      </c>
      <c r="F552">
        <v>0</v>
      </c>
      <c r="G552" s="2">
        <v>43152</v>
      </c>
      <c r="H552" s="2">
        <v>43147</v>
      </c>
      <c r="I552" t="s">
        <v>16</v>
      </c>
      <c r="J552">
        <v>8.54</v>
      </c>
      <c r="K552">
        <v>1.54</v>
      </c>
      <c r="L552">
        <v>7</v>
      </c>
      <c r="M552">
        <v>5</v>
      </c>
      <c r="N552">
        <v>35</v>
      </c>
      <c r="O552" s="1" t="s">
        <v>71</v>
      </c>
    </row>
    <row r="553" spans="1:15" ht="15">
      <c r="A553" s="6" t="s">
        <v>140</v>
      </c>
      <c r="B553">
        <v>205</v>
      </c>
      <c r="C553" s="2">
        <v>43152</v>
      </c>
      <c r="D553" t="str">
        <f>"004810040315"</f>
        <v>004810040315</v>
      </c>
      <c r="E553" s="2">
        <v>43106</v>
      </c>
      <c r="F553">
        <v>0</v>
      </c>
      <c r="G553" s="2">
        <v>43152</v>
      </c>
      <c r="H553" s="2">
        <v>43147</v>
      </c>
      <c r="I553" t="s">
        <v>16</v>
      </c>
      <c r="J553">
        <v>122.76</v>
      </c>
      <c r="K553">
        <v>22.14</v>
      </c>
      <c r="L553">
        <v>100.62</v>
      </c>
      <c r="M553">
        <v>5</v>
      </c>
      <c r="N553">
        <v>503.1</v>
      </c>
      <c r="O553" s="1" t="s">
        <v>71</v>
      </c>
    </row>
    <row r="554" spans="1:15" ht="15">
      <c r="A554" s="6" t="s">
        <v>140</v>
      </c>
      <c r="B554">
        <v>206</v>
      </c>
      <c r="C554" s="2">
        <v>43152</v>
      </c>
      <c r="D554" t="str">
        <f>"004810051280"</f>
        <v>004810051280</v>
      </c>
      <c r="E554" s="2">
        <v>43106</v>
      </c>
      <c r="F554">
        <v>0</v>
      </c>
      <c r="G554" s="2">
        <v>43152</v>
      </c>
      <c r="H554" s="2">
        <v>43147</v>
      </c>
      <c r="I554" t="s">
        <v>16</v>
      </c>
      <c r="J554">
        <v>6.91</v>
      </c>
      <c r="K554">
        <v>1.25</v>
      </c>
      <c r="L554">
        <v>5.66</v>
      </c>
      <c r="M554">
        <v>5</v>
      </c>
      <c r="N554">
        <v>28.3</v>
      </c>
      <c r="O554" s="1" t="s">
        <v>71</v>
      </c>
    </row>
    <row r="555" spans="1:15" ht="15">
      <c r="A555" s="6" t="s">
        <v>140</v>
      </c>
      <c r="B555">
        <v>206</v>
      </c>
      <c r="C555" s="2">
        <v>43152</v>
      </c>
      <c r="D555" t="str">
        <f>"004810051279"</f>
        <v>004810051279</v>
      </c>
      <c r="E555" s="2">
        <v>43106</v>
      </c>
      <c r="F555">
        <v>0</v>
      </c>
      <c r="G555" s="2">
        <v>43152</v>
      </c>
      <c r="H555" s="2">
        <v>43147</v>
      </c>
      <c r="I555" t="s">
        <v>16</v>
      </c>
      <c r="J555">
        <v>54.2</v>
      </c>
      <c r="K555">
        <v>9.77</v>
      </c>
      <c r="L555">
        <v>44.43</v>
      </c>
      <c r="M555">
        <v>5</v>
      </c>
      <c r="N555">
        <v>222.15</v>
      </c>
      <c r="O555" s="1" t="s">
        <v>71</v>
      </c>
    </row>
    <row r="556" spans="1:15" ht="15">
      <c r="A556" s="6" t="s">
        <v>140</v>
      </c>
      <c r="B556">
        <v>205</v>
      </c>
      <c r="C556" s="2">
        <v>43152</v>
      </c>
      <c r="D556" t="str">
        <f>"004810040322"</f>
        <v>004810040322</v>
      </c>
      <c r="E556" s="2">
        <v>43106</v>
      </c>
      <c r="F556">
        <v>0</v>
      </c>
      <c r="G556" s="2">
        <v>43152</v>
      </c>
      <c r="H556" s="2">
        <v>43147</v>
      </c>
      <c r="I556" t="s">
        <v>16</v>
      </c>
      <c r="J556">
        <v>20.97</v>
      </c>
      <c r="K556">
        <v>3.78</v>
      </c>
      <c r="L556">
        <v>17.19</v>
      </c>
      <c r="M556">
        <v>5</v>
      </c>
      <c r="N556">
        <v>85.95</v>
      </c>
      <c r="O556" s="1" t="s">
        <v>71</v>
      </c>
    </row>
    <row r="557" spans="1:15" ht="15">
      <c r="A557" s="6" t="s">
        <v>140</v>
      </c>
      <c r="B557">
        <v>206</v>
      </c>
      <c r="C557" s="2">
        <v>43152</v>
      </c>
      <c r="D557" t="str">
        <f>"004810040301"</f>
        <v>004810040301</v>
      </c>
      <c r="E557" s="2">
        <v>43106</v>
      </c>
      <c r="F557">
        <v>0</v>
      </c>
      <c r="G557" s="2">
        <v>43152</v>
      </c>
      <c r="H557" s="2">
        <v>43147</v>
      </c>
      <c r="I557" t="s">
        <v>16</v>
      </c>
      <c r="J557">
        <v>275.63</v>
      </c>
      <c r="K557">
        <v>49.7</v>
      </c>
      <c r="L557">
        <v>225.93</v>
      </c>
      <c r="M557">
        <v>5</v>
      </c>
      <c r="N557" s="3">
        <v>1129.65</v>
      </c>
      <c r="O557" s="1" t="s">
        <v>71</v>
      </c>
    </row>
    <row r="558" spans="1:15" ht="15">
      <c r="A558" s="6" t="s">
        <v>140</v>
      </c>
      <c r="B558">
        <v>210</v>
      </c>
      <c r="C558" s="2">
        <v>43152</v>
      </c>
      <c r="D558" t="str">
        <f>"004810011601"</f>
        <v>004810011601</v>
      </c>
      <c r="E558" s="2">
        <v>43106</v>
      </c>
      <c r="F558">
        <v>0</v>
      </c>
      <c r="G558" s="2">
        <v>43152</v>
      </c>
      <c r="H558" s="2">
        <v>43147</v>
      </c>
      <c r="I558" t="s">
        <v>16</v>
      </c>
      <c r="J558">
        <v>659.96</v>
      </c>
      <c r="K558">
        <v>119.01</v>
      </c>
      <c r="L558">
        <v>540.95</v>
      </c>
      <c r="M558">
        <v>5</v>
      </c>
      <c r="N558" s="3">
        <v>2704.75</v>
      </c>
      <c r="O558" s="1" t="s">
        <v>71</v>
      </c>
    </row>
    <row r="559" spans="1:15" ht="15">
      <c r="A559" s="6" t="s">
        <v>140</v>
      </c>
      <c r="B559">
        <v>205</v>
      </c>
      <c r="C559" s="2">
        <v>43152</v>
      </c>
      <c r="D559" t="str">
        <f>"004810040293"</f>
        <v>004810040293</v>
      </c>
      <c r="E559" s="2">
        <v>43106</v>
      </c>
      <c r="F559">
        <v>0</v>
      </c>
      <c r="G559" s="2">
        <v>43152</v>
      </c>
      <c r="H559" s="2">
        <v>43147</v>
      </c>
      <c r="I559" t="s">
        <v>16</v>
      </c>
      <c r="J559">
        <v>96.79</v>
      </c>
      <c r="K559">
        <v>17.45</v>
      </c>
      <c r="L559">
        <v>79.34</v>
      </c>
      <c r="M559">
        <v>5</v>
      </c>
      <c r="N559">
        <v>396.7</v>
      </c>
      <c r="O559" s="1" t="s">
        <v>71</v>
      </c>
    </row>
    <row r="560" spans="1:15" ht="15">
      <c r="A560" s="6" t="s">
        <v>140</v>
      </c>
      <c r="B560">
        <v>205</v>
      </c>
      <c r="C560" s="2">
        <v>43152</v>
      </c>
      <c r="D560" t="str">
        <f>"004810040305"</f>
        <v>004810040305</v>
      </c>
      <c r="E560" s="2">
        <v>43106</v>
      </c>
      <c r="F560">
        <v>0</v>
      </c>
      <c r="G560" s="2">
        <v>43152</v>
      </c>
      <c r="H560" s="2">
        <v>43147</v>
      </c>
      <c r="I560" t="s">
        <v>16</v>
      </c>
      <c r="J560">
        <v>486.01</v>
      </c>
      <c r="K560">
        <v>87.64</v>
      </c>
      <c r="L560">
        <v>398.37</v>
      </c>
      <c r="M560">
        <v>5</v>
      </c>
      <c r="N560" s="3">
        <v>1991.85</v>
      </c>
      <c r="O560" s="1" t="s">
        <v>71</v>
      </c>
    </row>
    <row r="561" spans="1:15" ht="15">
      <c r="A561" s="6" t="s">
        <v>140</v>
      </c>
      <c r="B561">
        <v>205</v>
      </c>
      <c r="C561" s="2">
        <v>43152</v>
      </c>
      <c r="D561" t="str">
        <f>"004810040302"</f>
        <v>004810040302</v>
      </c>
      <c r="E561" s="2">
        <v>43106</v>
      </c>
      <c r="F561">
        <v>0</v>
      </c>
      <c r="G561" s="2">
        <v>43152</v>
      </c>
      <c r="H561" s="2">
        <v>43147</v>
      </c>
      <c r="I561" t="s">
        <v>16</v>
      </c>
      <c r="J561">
        <v>155.94</v>
      </c>
      <c r="K561">
        <v>28.12</v>
      </c>
      <c r="L561">
        <v>127.82</v>
      </c>
      <c r="M561">
        <v>5</v>
      </c>
      <c r="N561">
        <v>639.1</v>
      </c>
      <c r="O561" s="1" t="s">
        <v>71</v>
      </c>
    </row>
    <row r="562" spans="1:15" ht="15">
      <c r="A562" s="6" t="s">
        <v>140</v>
      </c>
      <c r="B562">
        <v>206</v>
      </c>
      <c r="C562" s="2">
        <v>43152</v>
      </c>
      <c r="D562" t="str">
        <f>"004810040317"</f>
        <v>004810040317</v>
      </c>
      <c r="E562" s="2">
        <v>43106</v>
      </c>
      <c r="F562">
        <v>0</v>
      </c>
      <c r="G562" s="2">
        <v>43152</v>
      </c>
      <c r="H562" s="2">
        <v>43147</v>
      </c>
      <c r="I562" t="s">
        <v>16</v>
      </c>
      <c r="J562">
        <v>42.92</v>
      </c>
      <c r="K562">
        <v>7.74</v>
      </c>
      <c r="L562">
        <v>35.18</v>
      </c>
      <c r="M562">
        <v>5</v>
      </c>
      <c r="N562">
        <v>175.9</v>
      </c>
      <c r="O562" s="1" t="s">
        <v>71</v>
      </c>
    </row>
    <row r="563" spans="1:15" ht="15">
      <c r="A563" s="6" t="s">
        <v>140</v>
      </c>
      <c r="B563">
        <v>202</v>
      </c>
      <c r="C563" s="2">
        <v>43152</v>
      </c>
      <c r="D563" t="str">
        <f>"004810034272"</f>
        <v>004810034272</v>
      </c>
      <c r="E563" s="2">
        <v>43106</v>
      </c>
      <c r="F563">
        <v>0</v>
      </c>
      <c r="G563" s="2">
        <v>43152</v>
      </c>
      <c r="H563" s="2">
        <v>43147</v>
      </c>
      <c r="I563" t="s">
        <v>16</v>
      </c>
      <c r="J563">
        <v>88.69</v>
      </c>
      <c r="K563">
        <v>15.99</v>
      </c>
      <c r="L563">
        <v>72.7</v>
      </c>
      <c r="M563">
        <v>5</v>
      </c>
      <c r="N563">
        <v>363.5</v>
      </c>
      <c r="O563" s="1" t="s">
        <v>71</v>
      </c>
    </row>
    <row r="564" spans="1:15" ht="15">
      <c r="A564" s="6" t="s">
        <v>140</v>
      </c>
      <c r="B564">
        <v>206</v>
      </c>
      <c r="C564" s="2">
        <v>43152</v>
      </c>
      <c r="D564" t="str">
        <f>"004810051276"</f>
        <v>004810051276</v>
      </c>
      <c r="E564" s="2">
        <v>43106</v>
      </c>
      <c r="F564">
        <v>0</v>
      </c>
      <c r="G564" s="2">
        <v>43152</v>
      </c>
      <c r="H564" s="2">
        <v>43147</v>
      </c>
      <c r="I564" t="s">
        <v>16</v>
      </c>
      <c r="J564">
        <v>5.36</v>
      </c>
      <c r="K564">
        <v>0.97</v>
      </c>
      <c r="L564">
        <v>4.39</v>
      </c>
      <c r="M564">
        <v>5</v>
      </c>
      <c r="N564">
        <v>21.95</v>
      </c>
      <c r="O564" s="1" t="s">
        <v>71</v>
      </c>
    </row>
    <row r="565" spans="1:15" ht="15">
      <c r="A565" s="6" t="s">
        <v>140</v>
      </c>
      <c r="B565">
        <v>206</v>
      </c>
      <c r="C565" s="2">
        <v>43152</v>
      </c>
      <c r="D565" t="str">
        <f>"004810040297"</f>
        <v>004810040297</v>
      </c>
      <c r="E565" s="2">
        <v>43106</v>
      </c>
      <c r="F565">
        <v>0</v>
      </c>
      <c r="G565" s="2">
        <v>43152</v>
      </c>
      <c r="H565" s="2">
        <v>43147</v>
      </c>
      <c r="I565" t="s">
        <v>16</v>
      </c>
      <c r="J565">
        <v>71.41</v>
      </c>
      <c r="K565">
        <v>12.88</v>
      </c>
      <c r="L565">
        <v>58.53</v>
      </c>
      <c r="M565">
        <v>5</v>
      </c>
      <c r="N565">
        <v>292.65</v>
      </c>
      <c r="O565" s="1" t="s">
        <v>71</v>
      </c>
    </row>
    <row r="566" spans="1:15" ht="15">
      <c r="A566" s="6" t="s">
        <v>140</v>
      </c>
      <c r="B566">
        <v>205</v>
      </c>
      <c r="C566" s="2">
        <v>43152</v>
      </c>
      <c r="D566" t="str">
        <f>"004810051274"</f>
        <v>004810051274</v>
      </c>
      <c r="E566" s="2">
        <v>43106</v>
      </c>
      <c r="F566">
        <v>0</v>
      </c>
      <c r="G566" s="2">
        <v>43152</v>
      </c>
      <c r="H566" s="2">
        <v>43147</v>
      </c>
      <c r="I566" t="s">
        <v>16</v>
      </c>
      <c r="J566">
        <v>1.92</v>
      </c>
      <c r="K566">
        <v>0.35</v>
      </c>
      <c r="L566">
        <v>1.57</v>
      </c>
      <c r="M566">
        <v>5</v>
      </c>
      <c r="N566">
        <v>7.85</v>
      </c>
      <c r="O566" s="1" t="s">
        <v>71</v>
      </c>
    </row>
    <row r="567" spans="1:15" ht="15">
      <c r="A567" s="6" t="s">
        <v>140</v>
      </c>
      <c r="B567">
        <v>206</v>
      </c>
      <c r="C567" s="2">
        <v>43152</v>
      </c>
      <c r="D567" t="str">
        <f>"004810040306"</f>
        <v>004810040306</v>
      </c>
      <c r="E567" s="2">
        <v>43106</v>
      </c>
      <c r="F567">
        <v>0</v>
      </c>
      <c r="G567" s="2">
        <v>43152</v>
      </c>
      <c r="H567" s="2">
        <v>43147</v>
      </c>
      <c r="I567" t="s">
        <v>16</v>
      </c>
      <c r="J567">
        <v>229.81</v>
      </c>
      <c r="K567">
        <v>41.44</v>
      </c>
      <c r="L567">
        <v>188.37</v>
      </c>
      <c r="M567">
        <v>5</v>
      </c>
      <c r="N567">
        <v>941.85</v>
      </c>
      <c r="O567" s="1" t="s">
        <v>71</v>
      </c>
    </row>
    <row r="568" spans="1:15" ht="15">
      <c r="A568" s="6" t="s">
        <v>140</v>
      </c>
      <c r="B568">
        <v>202</v>
      </c>
      <c r="C568" s="2">
        <v>43152</v>
      </c>
      <c r="D568" t="str">
        <f>"004810034280"</f>
        <v>004810034280</v>
      </c>
      <c r="E568" s="2">
        <v>43106</v>
      </c>
      <c r="F568">
        <v>0</v>
      </c>
      <c r="G568" s="2">
        <v>43152</v>
      </c>
      <c r="H568" s="2">
        <v>43147</v>
      </c>
      <c r="I568" t="s">
        <v>16</v>
      </c>
      <c r="J568">
        <v>171.72</v>
      </c>
      <c r="K568">
        <v>30.97</v>
      </c>
      <c r="L568">
        <v>140.75</v>
      </c>
      <c r="M568">
        <v>5</v>
      </c>
      <c r="N568">
        <v>703.75</v>
      </c>
      <c r="O568" s="1" t="s">
        <v>71</v>
      </c>
    </row>
    <row r="569" spans="1:15" ht="15">
      <c r="A569" s="6" t="s">
        <v>140</v>
      </c>
      <c r="B569">
        <v>206</v>
      </c>
      <c r="C569" s="2">
        <v>43152</v>
      </c>
      <c r="D569" t="str">
        <f>"004810040304"</f>
        <v>004810040304</v>
      </c>
      <c r="E569" s="2">
        <v>43106</v>
      </c>
      <c r="F569">
        <v>0</v>
      </c>
      <c r="G569" s="2">
        <v>43152</v>
      </c>
      <c r="H569" s="2">
        <v>43147</v>
      </c>
      <c r="I569" t="s">
        <v>16</v>
      </c>
      <c r="J569">
        <v>101.92</v>
      </c>
      <c r="K569">
        <v>18.38</v>
      </c>
      <c r="L569">
        <v>83.54</v>
      </c>
      <c r="M569">
        <v>5</v>
      </c>
      <c r="N569">
        <v>417.7</v>
      </c>
      <c r="O569" s="1" t="s">
        <v>71</v>
      </c>
    </row>
    <row r="570" spans="1:15" ht="15">
      <c r="A570" s="6" t="s">
        <v>140</v>
      </c>
      <c r="B570">
        <v>206</v>
      </c>
      <c r="C570" s="2">
        <v>43152</v>
      </c>
      <c r="D570" t="str">
        <f>"004810040316"</f>
        <v>004810040316</v>
      </c>
      <c r="E570" s="2">
        <v>43106</v>
      </c>
      <c r="F570">
        <v>0</v>
      </c>
      <c r="G570" s="2">
        <v>43152</v>
      </c>
      <c r="H570" s="2">
        <v>43147</v>
      </c>
      <c r="I570" t="s">
        <v>16</v>
      </c>
      <c r="J570">
        <v>40.72</v>
      </c>
      <c r="K570">
        <v>7.34</v>
      </c>
      <c r="L570">
        <v>33.38</v>
      </c>
      <c r="M570">
        <v>5</v>
      </c>
      <c r="N570">
        <v>166.9</v>
      </c>
      <c r="O570" s="1" t="s">
        <v>71</v>
      </c>
    </row>
    <row r="571" spans="1:15" ht="15">
      <c r="A571" s="6" t="s">
        <v>140</v>
      </c>
      <c r="B571">
        <v>206</v>
      </c>
      <c r="C571" s="2">
        <v>43152</v>
      </c>
      <c r="D571" t="str">
        <f>"004810051270"</f>
        <v>004810051270</v>
      </c>
      <c r="E571" s="2">
        <v>43106</v>
      </c>
      <c r="F571">
        <v>0</v>
      </c>
      <c r="G571" s="2">
        <v>43152</v>
      </c>
      <c r="H571" s="2">
        <v>43147</v>
      </c>
      <c r="I571" t="s">
        <v>16</v>
      </c>
      <c r="J571">
        <v>10.87</v>
      </c>
      <c r="K571">
        <v>1.96</v>
      </c>
      <c r="L571">
        <v>8.91</v>
      </c>
      <c r="M571">
        <v>5</v>
      </c>
      <c r="N571">
        <v>44.55</v>
      </c>
      <c r="O571" s="1" t="s">
        <v>71</v>
      </c>
    </row>
    <row r="572" spans="1:15" ht="15">
      <c r="A572" s="6" t="s">
        <v>140</v>
      </c>
      <c r="B572">
        <v>205</v>
      </c>
      <c r="C572" s="2">
        <v>43152</v>
      </c>
      <c r="D572" t="str">
        <f>"004810040328"</f>
        <v>004810040328</v>
      </c>
      <c r="E572" s="2">
        <v>43106</v>
      </c>
      <c r="F572">
        <v>0</v>
      </c>
      <c r="G572" s="2">
        <v>43152</v>
      </c>
      <c r="H572" s="2">
        <v>43147</v>
      </c>
      <c r="I572" t="s">
        <v>16</v>
      </c>
      <c r="J572">
        <v>175.63</v>
      </c>
      <c r="K572">
        <v>31.67</v>
      </c>
      <c r="L572">
        <v>143.96</v>
      </c>
      <c r="M572">
        <v>5</v>
      </c>
      <c r="N572">
        <v>719.8</v>
      </c>
      <c r="O572" s="1" t="s">
        <v>71</v>
      </c>
    </row>
    <row r="573" spans="1:15" ht="15">
      <c r="A573" s="6" t="s">
        <v>140</v>
      </c>
      <c r="B573">
        <v>202</v>
      </c>
      <c r="C573" s="2">
        <v>43152</v>
      </c>
      <c r="D573" t="str">
        <f>"004810034274"</f>
        <v>004810034274</v>
      </c>
      <c r="E573" s="2">
        <v>43106</v>
      </c>
      <c r="F573">
        <v>0</v>
      </c>
      <c r="G573" s="2">
        <v>43152</v>
      </c>
      <c r="H573" s="2">
        <v>43147</v>
      </c>
      <c r="I573" t="s">
        <v>16</v>
      </c>
      <c r="J573">
        <v>222.58</v>
      </c>
      <c r="K573">
        <v>40.14</v>
      </c>
      <c r="L573">
        <v>182.44</v>
      </c>
      <c r="M573">
        <v>5</v>
      </c>
      <c r="N573">
        <v>912.2</v>
      </c>
      <c r="O573" s="1" t="s">
        <v>71</v>
      </c>
    </row>
    <row r="574" spans="1:15" ht="15">
      <c r="A574" s="6" t="s">
        <v>140</v>
      </c>
      <c r="B574">
        <v>205</v>
      </c>
      <c r="C574" s="2">
        <v>43152</v>
      </c>
      <c r="D574" t="str">
        <f>"004810040290"</f>
        <v>004810040290</v>
      </c>
      <c r="E574" s="2">
        <v>43106</v>
      </c>
      <c r="F574">
        <v>0</v>
      </c>
      <c r="G574" s="2">
        <v>43152</v>
      </c>
      <c r="H574" s="2">
        <v>43147</v>
      </c>
      <c r="I574" t="s">
        <v>16</v>
      </c>
      <c r="J574">
        <v>126.37</v>
      </c>
      <c r="K574">
        <v>22.79</v>
      </c>
      <c r="L574">
        <v>103.58</v>
      </c>
      <c r="M574">
        <v>5</v>
      </c>
      <c r="N574">
        <v>517.9</v>
      </c>
      <c r="O574" s="1" t="s">
        <v>71</v>
      </c>
    </row>
    <row r="575" spans="1:15" ht="15">
      <c r="A575" s="6" t="s">
        <v>140</v>
      </c>
      <c r="B575">
        <v>206</v>
      </c>
      <c r="C575" s="2">
        <v>43152</v>
      </c>
      <c r="D575" t="str">
        <f>"004810051281"</f>
        <v>004810051281</v>
      </c>
      <c r="E575" s="2">
        <v>43106</v>
      </c>
      <c r="F575">
        <v>0</v>
      </c>
      <c r="G575" s="2">
        <v>43152</v>
      </c>
      <c r="H575" s="2">
        <v>43147</v>
      </c>
      <c r="I575" t="s">
        <v>16</v>
      </c>
      <c r="J575">
        <v>135.59</v>
      </c>
      <c r="K575">
        <v>24.45</v>
      </c>
      <c r="L575">
        <v>111.14</v>
      </c>
      <c r="M575">
        <v>5</v>
      </c>
      <c r="N575">
        <v>555.7</v>
      </c>
      <c r="O575" s="1" t="s">
        <v>71</v>
      </c>
    </row>
    <row r="576" spans="1:15" ht="15">
      <c r="A576" s="6" t="s">
        <v>140</v>
      </c>
      <c r="B576">
        <v>207</v>
      </c>
      <c r="C576" s="2">
        <v>43152</v>
      </c>
      <c r="D576" t="str">
        <f>"004810154518"</f>
        <v>004810154518</v>
      </c>
      <c r="E576" s="2">
        <v>43120</v>
      </c>
      <c r="F576">
        <v>0</v>
      </c>
      <c r="G576" s="2">
        <v>43152</v>
      </c>
      <c r="H576" s="2">
        <v>43152</v>
      </c>
      <c r="I576" t="s">
        <v>18</v>
      </c>
      <c r="J576">
        <v>387.62</v>
      </c>
      <c r="K576">
        <v>69.9</v>
      </c>
      <c r="L576">
        <v>317.72</v>
      </c>
      <c r="M576">
        <v>0</v>
      </c>
      <c r="N576">
        <v>0</v>
      </c>
      <c r="O576" s="1" t="s">
        <v>71</v>
      </c>
    </row>
    <row r="577" spans="1:15" ht="15">
      <c r="A577" s="6" t="s">
        <v>140</v>
      </c>
      <c r="B577">
        <v>207</v>
      </c>
      <c r="C577" s="2">
        <v>43152</v>
      </c>
      <c r="D577" t="str">
        <f>"004810154517"</f>
        <v>004810154517</v>
      </c>
      <c r="E577" s="2">
        <v>43120</v>
      </c>
      <c r="F577">
        <v>0</v>
      </c>
      <c r="G577" s="2">
        <v>43152</v>
      </c>
      <c r="H577" s="2">
        <v>43152</v>
      </c>
      <c r="I577" t="s">
        <v>18</v>
      </c>
      <c r="J577">
        <v>387.62</v>
      </c>
      <c r="K577">
        <v>69.9</v>
      </c>
      <c r="L577">
        <v>317.72</v>
      </c>
      <c r="M577">
        <v>0</v>
      </c>
      <c r="N577">
        <v>0</v>
      </c>
      <c r="O577" s="1" t="s">
        <v>71</v>
      </c>
    </row>
    <row r="578" spans="1:15" ht="15">
      <c r="A578" s="6" t="s">
        <v>140</v>
      </c>
      <c r="B578">
        <v>207</v>
      </c>
      <c r="C578" s="2">
        <v>43152</v>
      </c>
      <c r="D578" t="str">
        <f>"004810154519"</f>
        <v>004810154519</v>
      </c>
      <c r="E578" s="2">
        <v>43120</v>
      </c>
      <c r="F578">
        <v>0</v>
      </c>
      <c r="G578" s="2">
        <v>43152</v>
      </c>
      <c r="H578" s="2">
        <v>43152</v>
      </c>
      <c r="I578" t="s">
        <v>18</v>
      </c>
      <c r="J578">
        <v>295.22</v>
      </c>
      <c r="K578">
        <v>53.24</v>
      </c>
      <c r="L578">
        <v>241.98</v>
      </c>
      <c r="M578">
        <v>0</v>
      </c>
      <c r="N578">
        <v>0</v>
      </c>
      <c r="O578" s="1" t="s">
        <v>71</v>
      </c>
    </row>
    <row r="579" spans="1:15" ht="15">
      <c r="A579" s="6" t="s">
        <v>109</v>
      </c>
      <c r="B579">
        <v>260</v>
      </c>
      <c r="C579" s="2">
        <v>43165</v>
      </c>
      <c r="D579" t="s">
        <v>220</v>
      </c>
      <c r="E579" s="2">
        <v>43069</v>
      </c>
      <c r="F579">
        <v>0</v>
      </c>
      <c r="G579" s="2">
        <v>43166</v>
      </c>
      <c r="H579" s="2">
        <v>43166</v>
      </c>
      <c r="I579" t="s">
        <v>16</v>
      </c>
      <c r="J579" s="3">
        <v>4670.87</v>
      </c>
      <c r="K579">
        <v>424.61</v>
      </c>
      <c r="L579" s="3">
        <v>4246.26</v>
      </c>
      <c r="M579">
        <v>0</v>
      </c>
      <c r="N579">
        <v>0</v>
      </c>
      <c r="O579" s="1" t="s">
        <v>111</v>
      </c>
    </row>
    <row r="580" spans="1:15" ht="15">
      <c r="A580" s="6" t="s">
        <v>109</v>
      </c>
      <c r="B580">
        <v>260</v>
      </c>
      <c r="C580" s="2">
        <v>43165</v>
      </c>
      <c r="D580" t="s">
        <v>220</v>
      </c>
      <c r="E580" s="2">
        <v>43069</v>
      </c>
      <c r="F580">
        <v>0</v>
      </c>
      <c r="G580" s="2">
        <v>43166</v>
      </c>
      <c r="H580" s="2">
        <v>43166</v>
      </c>
      <c r="I580" t="s">
        <v>16</v>
      </c>
      <c r="J580" s="3">
        <v>4944.78</v>
      </c>
      <c r="K580">
        <v>449.54</v>
      </c>
      <c r="L580" s="3">
        <v>4495.24</v>
      </c>
      <c r="M580">
        <v>0</v>
      </c>
      <c r="N580">
        <v>0</v>
      </c>
      <c r="O580" s="1" t="s">
        <v>111</v>
      </c>
    </row>
    <row r="581" spans="1:15" ht="15">
      <c r="A581" s="6" t="s">
        <v>112</v>
      </c>
      <c r="B581">
        <v>288</v>
      </c>
      <c r="C581" s="2">
        <v>43174</v>
      </c>
      <c r="D581" t="str">
        <f>"171902450411"</f>
        <v>171902450411</v>
      </c>
      <c r="E581" s="2">
        <v>43090</v>
      </c>
      <c r="F581">
        <v>0</v>
      </c>
      <c r="G581" s="2">
        <v>43122</v>
      </c>
      <c r="H581" s="2">
        <v>43122</v>
      </c>
      <c r="I581" t="s">
        <v>16</v>
      </c>
      <c r="J581">
        <v>895.07</v>
      </c>
      <c r="K581">
        <v>161.41</v>
      </c>
      <c r="L581">
        <v>733.66</v>
      </c>
      <c r="M581">
        <v>0</v>
      </c>
      <c r="N581">
        <v>0</v>
      </c>
      <c r="O581" s="1" t="s">
        <v>113</v>
      </c>
    </row>
    <row r="582" spans="1:15" ht="15">
      <c r="A582" s="6" t="s">
        <v>112</v>
      </c>
      <c r="B582">
        <v>289</v>
      </c>
      <c r="C582" s="2">
        <v>43174</v>
      </c>
      <c r="D582" t="str">
        <f>"171902450403"</f>
        <v>171902450403</v>
      </c>
      <c r="E582" s="2">
        <v>43090</v>
      </c>
      <c r="F582">
        <v>0</v>
      </c>
      <c r="G582" s="2">
        <v>43122</v>
      </c>
      <c r="H582" s="2">
        <v>43122</v>
      </c>
      <c r="I582" t="s">
        <v>16</v>
      </c>
      <c r="J582">
        <v>97.75</v>
      </c>
      <c r="K582">
        <v>17.63</v>
      </c>
      <c r="L582">
        <v>80.12</v>
      </c>
      <c r="M582">
        <v>0</v>
      </c>
      <c r="N582">
        <v>0</v>
      </c>
      <c r="O582" s="1" t="s">
        <v>113</v>
      </c>
    </row>
    <row r="583" spans="1:15" ht="15">
      <c r="A583" s="6" t="s">
        <v>112</v>
      </c>
      <c r="B583">
        <v>283</v>
      </c>
      <c r="C583" s="2">
        <v>43174</v>
      </c>
      <c r="D583" t="str">
        <f>"171902450410"</f>
        <v>171902450410</v>
      </c>
      <c r="E583" s="2">
        <v>43090</v>
      </c>
      <c r="F583">
        <v>0</v>
      </c>
      <c r="G583" s="2">
        <v>43122</v>
      </c>
      <c r="H583" s="2">
        <v>43122</v>
      </c>
      <c r="I583" t="s">
        <v>16</v>
      </c>
      <c r="J583">
        <v>16.47</v>
      </c>
      <c r="K583">
        <v>1.73</v>
      </c>
      <c r="L583">
        <v>14.74</v>
      </c>
      <c r="M583">
        <v>0</v>
      </c>
      <c r="N583">
        <v>0</v>
      </c>
      <c r="O583" s="1" t="s">
        <v>113</v>
      </c>
    </row>
    <row r="584" spans="1:15" ht="15">
      <c r="A584" s="6" t="s">
        <v>112</v>
      </c>
      <c r="B584">
        <v>285</v>
      </c>
      <c r="C584" s="2">
        <v>43174</v>
      </c>
      <c r="D584" t="str">
        <f>"171902450407"</f>
        <v>171902450407</v>
      </c>
      <c r="E584" s="2">
        <v>43090</v>
      </c>
      <c r="F584">
        <v>0</v>
      </c>
      <c r="G584" s="2">
        <v>43122</v>
      </c>
      <c r="H584" s="2">
        <v>43122</v>
      </c>
      <c r="I584" t="s">
        <v>16</v>
      </c>
      <c r="J584">
        <v>331.76</v>
      </c>
      <c r="K584">
        <v>59.83</v>
      </c>
      <c r="L584">
        <v>271.93</v>
      </c>
      <c r="M584">
        <v>0</v>
      </c>
      <c r="N584">
        <v>0</v>
      </c>
      <c r="O584" s="1" t="s">
        <v>113</v>
      </c>
    </row>
    <row r="585" spans="1:15" ht="15">
      <c r="A585" s="6" t="s">
        <v>112</v>
      </c>
      <c r="B585">
        <v>286</v>
      </c>
      <c r="C585" s="2">
        <v>43174</v>
      </c>
      <c r="D585" t="str">
        <f>"171902450404"</f>
        <v>171902450404</v>
      </c>
      <c r="E585" s="2">
        <v>43090</v>
      </c>
      <c r="F585">
        <v>0</v>
      </c>
      <c r="G585" s="2">
        <v>43122</v>
      </c>
      <c r="H585" s="2">
        <v>43122</v>
      </c>
      <c r="I585" t="s">
        <v>16</v>
      </c>
      <c r="J585" s="3">
        <v>1293.08</v>
      </c>
      <c r="K585">
        <v>233.18</v>
      </c>
      <c r="L585" s="3">
        <v>1059.9</v>
      </c>
      <c r="M585">
        <v>0</v>
      </c>
      <c r="N585">
        <v>0</v>
      </c>
      <c r="O585" s="1" t="s">
        <v>113</v>
      </c>
    </row>
    <row r="586" spans="1:15" ht="15">
      <c r="A586" s="6" t="s">
        <v>112</v>
      </c>
      <c r="B586">
        <v>284</v>
      </c>
      <c r="C586" s="2">
        <v>43174</v>
      </c>
      <c r="D586" t="str">
        <f>"171902450406"</f>
        <v>171902450406</v>
      </c>
      <c r="E586" s="2">
        <v>43090</v>
      </c>
      <c r="F586">
        <v>0</v>
      </c>
      <c r="G586" s="2">
        <v>43122</v>
      </c>
      <c r="H586" s="2">
        <v>43122</v>
      </c>
      <c r="I586" t="s">
        <v>16</v>
      </c>
      <c r="J586">
        <v>230.38</v>
      </c>
      <c r="K586">
        <v>41.54</v>
      </c>
      <c r="L586">
        <v>188.84</v>
      </c>
      <c r="M586">
        <v>0</v>
      </c>
      <c r="N586">
        <v>0</v>
      </c>
      <c r="O586" s="1" t="s">
        <v>113</v>
      </c>
    </row>
    <row r="587" spans="1:15" ht="15">
      <c r="A587" s="6" t="s">
        <v>112</v>
      </c>
      <c r="B587">
        <v>287</v>
      </c>
      <c r="C587" s="2">
        <v>43174</v>
      </c>
      <c r="D587" t="str">
        <f>"171902450405"</f>
        <v>171902450405</v>
      </c>
      <c r="E587" s="2">
        <v>43090</v>
      </c>
      <c r="F587">
        <v>0</v>
      </c>
      <c r="G587" s="2">
        <v>43122</v>
      </c>
      <c r="H587" s="2">
        <v>43122</v>
      </c>
      <c r="I587" t="s">
        <v>16</v>
      </c>
      <c r="J587">
        <v>101.32</v>
      </c>
      <c r="K587">
        <v>18.27</v>
      </c>
      <c r="L587">
        <v>83.05</v>
      </c>
      <c r="M587">
        <v>0</v>
      </c>
      <c r="N587">
        <v>0</v>
      </c>
      <c r="O587" s="1" t="s">
        <v>113</v>
      </c>
    </row>
    <row r="588" spans="1:15" ht="15">
      <c r="A588" s="6" t="s">
        <v>112</v>
      </c>
      <c r="B588">
        <v>281</v>
      </c>
      <c r="C588" s="2">
        <v>43174</v>
      </c>
      <c r="D588" t="str">
        <f>"171902450409"</f>
        <v>171902450409</v>
      </c>
      <c r="E588" s="2">
        <v>43090</v>
      </c>
      <c r="F588">
        <v>0</v>
      </c>
      <c r="G588" s="2">
        <v>43122</v>
      </c>
      <c r="H588" s="2">
        <v>43122</v>
      </c>
      <c r="I588" t="s">
        <v>16</v>
      </c>
      <c r="J588">
        <v>301.28</v>
      </c>
      <c r="K588">
        <v>54.33</v>
      </c>
      <c r="L588">
        <v>246.95</v>
      </c>
      <c r="M588">
        <v>0</v>
      </c>
      <c r="N588">
        <v>0</v>
      </c>
      <c r="O588" s="1" t="s">
        <v>113</v>
      </c>
    </row>
    <row r="589" spans="1:15" ht="15">
      <c r="A589" s="6" t="s">
        <v>109</v>
      </c>
      <c r="B589">
        <v>84</v>
      </c>
      <c r="C589" s="2">
        <v>43138</v>
      </c>
      <c r="D589" t="s">
        <v>221</v>
      </c>
      <c r="E589" s="2">
        <v>43039</v>
      </c>
      <c r="F589">
        <v>0</v>
      </c>
      <c r="G589" s="2">
        <v>43138</v>
      </c>
      <c r="H589" s="2">
        <v>43139</v>
      </c>
      <c r="I589" t="s">
        <v>16</v>
      </c>
      <c r="J589" s="3">
        <v>4821.41</v>
      </c>
      <c r="K589">
        <v>438.3</v>
      </c>
      <c r="L589" s="3">
        <v>4383.11</v>
      </c>
      <c r="M589">
        <v>-1</v>
      </c>
      <c r="N589" s="3">
        <v>-4383.11</v>
      </c>
      <c r="O589" s="1" t="s">
        <v>111</v>
      </c>
    </row>
    <row r="590" spans="1:15" ht="15">
      <c r="A590" s="6" t="s">
        <v>109</v>
      </c>
      <c r="B590">
        <v>84</v>
      </c>
      <c r="C590" s="2">
        <v>43138</v>
      </c>
      <c r="D590" t="s">
        <v>221</v>
      </c>
      <c r="E590" s="2">
        <v>43039</v>
      </c>
      <c r="F590">
        <v>0</v>
      </c>
      <c r="G590" s="2">
        <v>43138</v>
      </c>
      <c r="H590" s="2">
        <v>43139</v>
      </c>
      <c r="I590" t="s">
        <v>16</v>
      </c>
      <c r="J590" s="3">
        <v>4603.46</v>
      </c>
      <c r="K590">
        <v>418.51</v>
      </c>
      <c r="L590" s="3">
        <v>4184.95</v>
      </c>
      <c r="M590">
        <v>-1</v>
      </c>
      <c r="N590" s="3">
        <v>-4184.95</v>
      </c>
      <c r="O590" s="1" t="s">
        <v>111</v>
      </c>
    </row>
    <row r="591" spans="1:15" ht="15">
      <c r="A591" s="6" t="s">
        <v>222</v>
      </c>
      <c r="B591">
        <v>62</v>
      </c>
      <c r="C591" s="2">
        <v>43126</v>
      </c>
      <c r="D591" t="s">
        <v>29</v>
      </c>
      <c r="E591" s="2">
        <v>43096</v>
      </c>
      <c r="F591">
        <v>0</v>
      </c>
      <c r="G591" s="2">
        <v>43126</v>
      </c>
      <c r="H591" s="2">
        <v>43127</v>
      </c>
      <c r="I591" t="s">
        <v>18</v>
      </c>
      <c r="J591" s="3">
        <v>5721.09</v>
      </c>
      <c r="K591">
        <v>0</v>
      </c>
      <c r="L591" s="3">
        <v>5721.09</v>
      </c>
      <c r="M591">
        <v>-1</v>
      </c>
      <c r="N591" s="3">
        <v>-5721.09</v>
      </c>
      <c r="O591" s="1" t="s">
        <v>24</v>
      </c>
    </row>
    <row r="592" spans="1:15" ht="15">
      <c r="A592" s="6" t="s">
        <v>218</v>
      </c>
      <c r="B592">
        <v>267</v>
      </c>
      <c r="C592" s="2">
        <v>43173</v>
      </c>
      <c r="D592" s="5">
        <v>43412</v>
      </c>
      <c r="E592" s="2">
        <v>43131</v>
      </c>
      <c r="F592">
        <v>0</v>
      </c>
      <c r="G592" s="2">
        <v>43174</v>
      </c>
      <c r="H592" s="2">
        <v>43177</v>
      </c>
      <c r="I592" t="s">
        <v>18</v>
      </c>
      <c r="J592">
        <v>33.13</v>
      </c>
      <c r="K592">
        <v>5.97</v>
      </c>
      <c r="L592">
        <v>27.16</v>
      </c>
      <c r="M592">
        <v>-3</v>
      </c>
      <c r="N592">
        <v>-81.48</v>
      </c>
      <c r="O592" s="1" t="s">
        <v>223</v>
      </c>
    </row>
    <row r="593" spans="1:15" ht="15">
      <c r="A593" s="6" t="s">
        <v>218</v>
      </c>
      <c r="B593">
        <v>118</v>
      </c>
      <c r="C593" s="2">
        <v>43144</v>
      </c>
      <c r="D593" t="s">
        <v>224</v>
      </c>
      <c r="E593" s="2">
        <v>43099</v>
      </c>
      <c r="F593">
        <v>0</v>
      </c>
      <c r="G593" s="2">
        <v>43145</v>
      </c>
      <c r="H593" s="2">
        <v>43148</v>
      </c>
      <c r="I593" t="s">
        <v>16</v>
      </c>
      <c r="J593">
        <v>150.6</v>
      </c>
      <c r="K593">
        <v>27.16</v>
      </c>
      <c r="L593">
        <v>123.44</v>
      </c>
      <c r="M593">
        <v>-3</v>
      </c>
      <c r="N593">
        <v>-370.32</v>
      </c>
      <c r="O593" s="1" t="s">
        <v>32</v>
      </c>
    </row>
    <row r="594" spans="1:15" ht="15">
      <c r="A594" s="6" t="s">
        <v>218</v>
      </c>
      <c r="B594">
        <v>266</v>
      </c>
      <c r="C594" s="2">
        <v>43173</v>
      </c>
      <c r="D594" s="5">
        <v>43412</v>
      </c>
      <c r="E594" s="2">
        <v>43131</v>
      </c>
      <c r="F594">
        <v>0</v>
      </c>
      <c r="G594" s="2">
        <v>43174</v>
      </c>
      <c r="H594" s="2">
        <v>43177</v>
      </c>
      <c r="I594" t="s">
        <v>18</v>
      </c>
      <c r="J594">
        <v>150.6</v>
      </c>
      <c r="K594">
        <v>27.16</v>
      </c>
      <c r="L594">
        <v>123.44</v>
      </c>
      <c r="M594">
        <v>-3</v>
      </c>
      <c r="N594">
        <v>-370.32</v>
      </c>
      <c r="O594" s="1" t="s">
        <v>223</v>
      </c>
    </row>
    <row r="595" spans="1:15" ht="15">
      <c r="A595" s="6" t="s">
        <v>218</v>
      </c>
      <c r="B595">
        <v>119</v>
      </c>
      <c r="C595" s="2">
        <v>43144</v>
      </c>
      <c r="D595" t="s">
        <v>224</v>
      </c>
      <c r="E595" s="2">
        <v>43099</v>
      </c>
      <c r="F595">
        <v>0</v>
      </c>
      <c r="G595" s="2">
        <v>43145</v>
      </c>
      <c r="H595" s="2">
        <v>43148</v>
      </c>
      <c r="I595" t="s">
        <v>16</v>
      </c>
      <c r="J595">
        <v>33.13</v>
      </c>
      <c r="K595">
        <v>5.97</v>
      </c>
      <c r="L595">
        <v>27.16</v>
      </c>
      <c r="M595">
        <v>-3</v>
      </c>
      <c r="N595">
        <v>-81.48</v>
      </c>
      <c r="O595" s="1" t="s">
        <v>32</v>
      </c>
    </row>
    <row r="596" spans="1:15" ht="15">
      <c r="A596" s="6" t="s">
        <v>140</v>
      </c>
      <c r="B596">
        <v>395</v>
      </c>
      <c r="C596" s="2">
        <v>43186</v>
      </c>
      <c r="D596" t="str">
        <f>"004810210116"</f>
        <v>004810210116</v>
      </c>
      <c r="E596" s="2">
        <v>43136</v>
      </c>
      <c r="F596">
        <v>0</v>
      </c>
      <c r="G596" s="2">
        <v>43186</v>
      </c>
      <c r="H596" s="2">
        <v>43189</v>
      </c>
      <c r="I596" t="s">
        <v>16</v>
      </c>
      <c r="J596">
        <v>54.07</v>
      </c>
      <c r="K596">
        <v>9.75</v>
      </c>
      <c r="L596">
        <v>44.32</v>
      </c>
      <c r="M596">
        <v>-3</v>
      </c>
      <c r="N596">
        <v>-132.96</v>
      </c>
      <c r="O596" s="1" t="s">
        <v>71</v>
      </c>
    </row>
    <row r="597" spans="1:15" ht="15">
      <c r="A597" s="6" t="s">
        <v>140</v>
      </c>
      <c r="B597">
        <v>395</v>
      </c>
      <c r="C597" s="2">
        <v>43186</v>
      </c>
      <c r="D597" t="str">
        <f>"004810182267"</f>
        <v>004810182267</v>
      </c>
      <c r="E597" s="2">
        <v>43136</v>
      </c>
      <c r="F597">
        <v>0</v>
      </c>
      <c r="G597" s="2">
        <v>43186</v>
      </c>
      <c r="H597" s="2">
        <v>43189</v>
      </c>
      <c r="I597" t="s">
        <v>16</v>
      </c>
      <c r="J597">
        <v>1.81</v>
      </c>
      <c r="K597">
        <v>0.33</v>
      </c>
      <c r="L597">
        <v>1.48</v>
      </c>
      <c r="M597">
        <v>-3</v>
      </c>
      <c r="N597">
        <v>-4.44</v>
      </c>
      <c r="O597" s="1" t="s">
        <v>71</v>
      </c>
    </row>
    <row r="598" spans="1:15" ht="15">
      <c r="A598" s="6" t="s">
        <v>140</v>
      </c>
      <c r="B598">
        <v>395</v>
      </c>
      <c r="C598" s="2">
        <v>43186</v>
      </c>
      <c r="D598" t="str">
        <f>"004810182271"</f>
        <v>004810182271</v>
      </c>
      <c r="E598" s="2">
        <v>43136</v>
      </c>
      <c r="F598">
        <v>0</v>
      </c>
      <c r="G598" s="2">
        <v>43186</v>
      </c>
      <c r="H598" s="2">
        <v>43189</v>
      </c>
      <c r="I598" t="s">
        <v>16</v>
      </c>
      <c r="J598">
        <v>4.26</v>
      </c>
      <c r="K598">
        <v>0.77</v>
      </c>
      <c r="L598">
        <v>3.49</v>
      </c>
      <c r="M598">
        <v>-3</v>
      </c>
      <c r="N598">
        <v>-10.47</v>
      </c>
      <c r="O598" s="1" t="s">
        <v>71</v>
      </c>
    </row>
    <row r="599" spans="1:15" ht="15">
      <c r="A599" s="6" t="s">
        <v>140</v>
      </c>
      <c r="B599">
        <v>395</v>
      </c>
      <c r="C599" s="2">
        <v>43186</v>
      </c>
      <c r="D599" t="str">
        <f>"004810210104"</f>
        <v>004810210104</v>
      </c>
      <c r="E599" s="2">
        <v>43136</v>
      </c>
      <c r="F599">
        <v>0</v>
      </c>
      <c r="G599" s="2">
        <v>43186</v>
      </c>
      <c r="H599" s="2">
        <v>43189</v>
      </c>
      <c r="I599" t="s">
        <v>16</v>
      </c>
      <c r="J599">
        <v>21.35</v>
      </c>
      <c r="K599">
        <v>3.85</v>
      </c>
      <c r="L599">
        <v>17.5</v>
      </c>
      <c r="M599">
        <v>-3</v>
      </c>
      <c r="N599">
        <v>-52.5</v>
      </c>
      <c r="O599" s="1" t="s">
        <v>71</v>
      </c>
    </row>
    <row r="600" spans="1:15" ht="15">
      <c r="A600" s="6" t="s">
        <v>140</v>
      </c>
      <c r="B600">
        <v>396</v>
      </c>
      <c r="C600" s="2">
        <v>43186</v>
      </c>
      <c r="D600" t="str">
        <f>"004810210087"</f>
        <v>004810210087</v>
      </c>
      <c r="E600" s="2">
        <v>43136</v>
      </c>
      <c r="F600">
        <v>0</v>
      </c>
      <c r="G600" s="2">
        <v>43186</v>
      </c>
      <c r="H600" s="2">
        <v>43189</v>
      </c>
      <c r="I600" t="s">
        <v>16</v>
      </c>
      <c r="J600">
        <v>418.79</v>
      </c>
      <c r="K600">
        <v>75.52</v>
      </c>
      <c r="L600">
        <v>343.27</v>
      </c>
      <c r="M600">
        <v>-3</v>
      </c>
      <c r="N600" s="3">
        <v>-1029.81</v>
      </c>
      <c r="O600" s="1" t="s">
        <v>71</v>
      </c>
    </row>
    <row r="601" spans="1:15" ht="15">
      <c r="A601" s="6" t="s">
        <v>140</v>
      </c>
      <c r="B601">
        <v>396</v>
      </c>
      <c r="C601" s="2">
        <v>43186</v>
      </c>
      <c r="D601" t="str">
        <f>"004810182265"</f>
        <v>004810182265</v>
      </c>
      <c r="E601" s="2">
        <v>43136</v>
      </c>
      <c r="F601">
        <v>0</v>
      </c>
      <c r="G601" s="2">
        <v>43186</v>
      </c>
      <c r="H601" s="2">
        <v>43189</v>
      </c>
      <c r="I601" t="s">
        <v>16</v>
      </c>
      <c r="J601">
        <v>22.69</v>
      </c>
      <c r="K601">
        <v>4.09</v>
      </c>
      <c r="L601">
        <v>18.6</v>
      </c>
      <c r="M601">
        <v>-3</v>
      </c>
      <c r="N601">
        <v>-55.8</v>
      </c>
      <c r="O601" s="1" t="s">
        <v>71</v>
      </c>
    </row>
    <row r="602" spans="1:15" ht="15">
      <c r="A602" s="6" t="s">
        <v>140</v>
      </c>
      <c r="B602">
        <v>394</v>
      </c>
      <c r="C602" s="2">
        <v>43186</v>
      </c>
      <c r="D602" t="str">
        <f>"004810209219"</f>
        <v>004810209219</v>
      </c>
      <c r="E602" s="2">
        <v>43136</v>
      </c>
      <c r="F602">
        <v>0</v>
      </c>
      <c r="G602" s="2">
        <v>43186</v>
      </c>
      <c r="H602" s="2">
        <v>43189</v>
      </c>
      <c r="I602" t="s">
        <v>16</v>
      </c>
      <c r="J602">
        <v>40.35</v>
      </c>
      <c r="K602">
        <v>7.28</v>
      </c>
      <c r="L602">
        <v>33.07</v>
      </c>
      <c r="M602">
        <v>-3</v>
      </c>
      <c r="N602">
        <v>-99.21</v>
      </c>
      <c r="O602" s="1" t="s">
        <v>71</v>
      </c>
    </row>
    <row r="603" spans="1:15" ht="15">
      <c r="A603" s="6" t="s">
        <v>140</v>
      </c>
      <c r="B603">
        <v>395</v>
      </c>
      <c r="C603" s="2">
        <v>43186</v>
      </c>
      <c r="D603" t="str">
        <f>"004810210100"</f>
        <v>004810210100</v>
      </c>
      <c r="E603" s="2">
        <v>43136</v>
      </c>
      <c r="F603">
        <v>0</v>
      </c>
      <c r="G603" s="2">
        <v>43186</v>
      </c>
      <c r="H603" s="2">
        <v>43189</v>
      </c>
      <c r="I603" t="s">
        <v>16</v>
      </c>
      <c r="J603">
        <v>55.39</v>
      </c>
      <c r="K603">
        <v>9.99</v>
      </c>
      <c r="L603">
        <v>45.4</v>
      </c>
      <c r="M603">
        <v>-3</v>
      </c>
      <c r="N603">
        <v>-136.2</v>
      </c>
      <c r="O603" s="1" t="s">
        <v>71</v>
      </c>
    </row>
    <row r="604" spans="1:15" ht="15">
      <c r="A604" s="6" t="s">
        <v>140</v>
      </c>
      <c r="B604">
        <v>396</v>
      </c>
      <c r="C604" s="2">
        <v>43186</v>
      </c>
      <c r="D604" t="str">
        <f>"004810182266"</f>
        <v>004810182266</v>
      </c>
      <c r="E604" s="2">
        <v>43136</v>
      </c>
      <c r="F604">
        <v>0</v>
      </c>
      <c r="G604" s="2">
        <v>43186</v>
      </c>
      <c r="H604" s="2">
        <v>43189</v>
      </c>
      <c r="I604" t="s">
        <v>16</v>
      </c>
      <c r="J604">
        <v>6.14</v>
      </c>
      <c r="K604">
        <v>1.11</v>
      </c>
      <c r="L604">
        <v>5.03</v>
      </c>
      <c r="M604">
        <v>-3</v>
      </c>
      <c r="N604">
        <v>-15.09</v>
      </c>
      <c r="O604" s="1" t="s">
        <v>71</v>
      </c>
    </row>
    <row r="605" spans="1:15" ht="15">
      <c r="A605" s="6" t="s">
        <v>140</v>
      </c>
      <c r="B605">
        <v>396</v>
      </c>
      <c r="C605" s="2">
        <v>43186</v>
      </c>
      <c r="D605" t="str">
        <f>"004810210076"</f>
        <v>004810210076</v>
      </c>
      <c r="E605" s="2">
        <v>43136</v>
      </c>
      <c r="F605">
        <v>0</v>
      </c>
      <c r="G605" s="2">
        <v>43186</v>
      </c>
      <c r="H605" s="2">
        <v>43189</v>
      </c>
      <c r="I605" t="s">
        <v>16</v>
      </c>
      <c r="J605">
        <v>95.47</v>
      </c>
      <c r="K605">
        <v>17.22</v>
      </c>
      <c r="L605">
        <v>78.25</v>
      </c>
      <c r="M605">
        <v>-3</v>
      </c>
      <c r="N605">
        <v>-234.75</v>
      </c>
      <c r="O605" s="1" t="s">
        <v>71</v>
      </c>
    </row>
    <row r="606" spans="1:15" ht="15">
      <c r="A606" s="6" t="s">
        <v>140</v>
      </c>
      <c r="B606">
        <v>396</v>
      </c>
      <c r="C606" s="2">
        <v>43186</v>
      </c>
      <c r="D606" t="str">
        <f>"004810210102"</f>
        <v>004810210102</v>
      </c>
      <c r="E606" s="2">
        <v>43136</v>
      </c>
      <c r="F606">
        <v>0</v>
      </c>
      <c r="G606" s="2">
        <v>43186</v>
      </c>
      <c r="H606" s="2">
        <v>43189</v>
      </c>
      <c r="I606" t="s">
        <v>16</v>
      </c>
      <c r="J606">
        <v>61.09</v>
      </c>
      <c r="K606">
        <v>11.02</v>
      </c>
      <c r="L606">
        <v>50.07</v>
      </c>
      <c r="M606">
        <v>-3</v>
      </c>
      <c r="N606">
        <v>-150.21</v>
      </c>
      <c r="O606" s="1" t="s">
        <v>71</v>
      </c>
    </row>
    <row r="607" spans="1:15" ht="15">
      <c r="A607" s="6" t="s">
        <v>140</v>
      </c>
      <c r="B607">
        <v>391</v>
      </c>
      <c r="C607" s="2">
        <v>43186</v>
      </c>
      <c r="D607" t="str">
        <f>"004810180298"</f>
        <v>004810180298</v>
      </c>
      <c r="E607" s="2">
        <v>43136</v>
      </c>
      <c r="F607">
        <v>0</v>
      </c>
      <c r="G607" s="2">
        <v>43186</v>
      </c>
      <c r="H607" s="2">
        <v>43189</v>
      </c>
      <c r="I607" t="s">
        <v>16</v>
      </c>
      <c r="J607">
        <v>737.78</v>
      </c>
      <c r="K607">
        <v>133.04</v>
      </c>
      <c r="L607">
        <v>604.74</v>
      </c>
      <c r="M607">
        <v>-3</v>
      </c>
      <c r="N607" s="3">
        <v>-1814.22</v>
      </c>
      <c r="O607" s="1" t="s">
        <v>71</v>
      </c>
    </row>
    <row r="608" spans="1:15" ht="15">
      <c r="A608" s="6" t="s">
        <v>140</v>
      </c>
      <c r="B608">
        <v>395</v>
      </c>
      <c r="C608" s="2">
        <v>43186</v>
      </c>
      <c r="D608" t="str">
        <f>"004810182268"</f>
        <v>004810182268</v>
      </c>
      <c r="E608" s="2">
        <v>43136</v>
      </c>
      <c r="F608">
        <v>0</v>
      </c>
      <c r="G608" s="2">
        <v>43186</v>
      </c>
      <c r="H608" s="2">
        <v>43189</v>
      </c>
      <c r="I608" t="s">
        <v>16</v>
      </c>
      <c r="J608">
        <v>30.67</v>
      </c>
      <c r="K608">
        <v>5.53</v>
      </c>
      <c r="L608">
        <v>25.14</v>
      </c>
      <c r="M608">
        <v>-3</v>
      </c>
      <c r="N608">
        <v>-75.42</v>
      </c>
      <c r="O608" s="1" t="s">
        <v>71</v>
      </c>
    </row>
    <row r="609" spans="1:15" ht="15">
      <c r="A609" s="6" t="s">
        <v>140</v>
      </c>
      <c r="B609">
        <v>392</v>
      </c>
      <c r="C609" s="2">
        <v>43186</v>
      </c>
      <c r="D609" t="str">
        <f>"004810209210"</f>
        <v>004810209210</v>
      </c>
      <c r="E609" s="2">
        <v>43136</v>
      </c>
      <c r="F609">
        <v>0</v>
      </c>
      <c r="G609" s="2">
        <v>43186</v>
      </c>
      <c r="H609" s="2">
        <v>43189</v>
      </c>
      <c r="I609" t="s">
        <v>16</v>
      </c>
      <c r="J609">
        <v>21.98</v>
      </c>
      <c r="K609">
        <v>3.96</v>
      </c>
      <c r="L609">
        <v>18.02</v>
      </c>
      <c r="M609">
        <v>-3</v>
      </c>
      <c r="N609">
        <v>-54.06</v>
      </c>
      <c r="O609" s="1" t="s">
        <v>71</v>
      </c>
    </row>
    <row r="610" spans="1:15" ht="15">
      <c r="A610" s="6" t="s">
        <v>140</v>
      </c>
      <c r="B610">
        <v>396</v>
      </c>
      <c r="C610" s="2">
        <v>43186</v>
      </c>
      <c r="D610" t="str">
        <f>"004810182274"</f>
        <v>004810182274</v>
      </c>
      <c r="E610" s="2">
        <v>43136</v>
      </c>
      <c r="F610">
        <v>0</v>
      </c>
      <c r="G610" s="2">
        <v>43186</v>
      </c>
      <c r="H610" s="2">
        <v>43189</v>
      </c>
      <c r="I610" t="s">
        <v>16</v>
      </c>
      <c r="J610">
        <v>4.09</v>
      </c>
      <c r="K610">
        <v>0.74</v>
      </c>
      <c r="L610">
        <v>3.35</v>
      </c>
      <c r="M610">
        <v>-3</v>
      </c>
      <c r="N610">
        <v>-10.05</v>
      </c>
      <c r="O610" s="1" t="s">
        <v>71</v>
      </c>
    </row>
    <row r="611" spans="1:15" ht="15">
      <c r="A611" s="6" t="s">
        <v>140</v>
      </c>
      <c r="B611">
        <v>394</v>
      </c>
      <c r="C611" s="2">
        <v>43186</v>
      </c>
      <c r="D611" t="str">
        <f>"004810209204"</f>
        <v>004810209204</v>
      </c>
      <c r="E611" s="2">
        <v>43136</v>
      </c>
      <c r="F611">
        <v>0</v>
      </c>
      <c r="G611" s="2">
        <v>43186</v>
      </c>
      <c r="H611" s="2">
        <v>43189</v>
      </c>
      <c r="I611" t="s">
        <v>16</v>
      </c>
      <c r="J611">
        <v>22.72</v>
      </c>
      <c r="K611">
        <v>4.1</v>
      </c>
      <c r="L611">
        <v>18.62</v>
      </c>
      <c r="M611">
        <v>-3</v>
      </c>
      <c r="N611">
        <v>-55.86</v>
      </c>
      <c r="O611" s="1" t="s">
        <v>71</v>
      </c>
    </row>
    <row r="612" spans="1:15" ht="15">
      <c r="A612" s="6" t="s">
        <v>140</v>
      </c>
      <c r="B612">
        <v>387</v>
      </c>
      <c r="C612" s="2">
        <v>43186</v>
      </c>
      <c r="D612" t="str">
        <f>"004810209220"</f>
        <v>004810209220</v>
      </c>
      <c r="E612" s="2">
        <v>43136</v>
      </c>
      <c r="F612">
        <v>0</v>
      </c>
      <c r="G612" s="2">
        <v>43186</v>
      </c>
      <c r="H612" s="2">
        <v>43189</v>
      </c>
      <c r="I612" t="s">
        <v>16</v>
      </c>
      <c r="J612">
        <v>82.28</v>
      </c>
      <c r="K612">
        <v>14.84</v>
      </c>
      <c r="L612">
        <v>67.44</v>
      </c>
      <c r="M612">
        <v>-3</v>
      </c>
      <c r="N612">
        <v>-202.32</v>
      </c>
      <c r="O612" s="1" t="s">
        <v>71</v>
      </c>
    </row>
    <row r="613" spans="1:15" ht="15">
      <c r="A613" s="6" t="s">
        <v>140</v>
      </c>
      <c r="B613">
        <v>395</v>
      </c>
      <c r="C613" s="2">
        <v>43186</v>
      </c>
      <c r="D613" t="str">
        <f>"004810210084"</f>
        <v>004810210084</v>
      </c>
      <c r="E613" s="2">
        <v>43136</v>
      </c>
      <c r="F613">
        <v>0</v>
      </c>
      <c r="G613" s="2">
        <v>43186</v>
      </c>
      <c r="H613" s="2">
        <v>43189</v>
      </c>
      <c r="I613" t="s">
        <v>16</v>
      </c>
      <c r="J613">
        <v>281.89</v>
      </c>
      <c r="K613">
        <v>50.83</v>
      </c>
      <c r="L613">
        <v>231.06</v>
      </c>
      <c r="M613">
        <v>-3</v>
      </c>
      <c r="N613">
        <v>-693.18</v>
      </c>
      <c r="O613" s="1" t="s">
        <v>71</v>
      </c>
    </row>
    <row r="614" spans="1:15" ht="15">
      <c r="A614" s="6" t="s">
        <v>140</v>
      </c>
      <c r="B614">
        <v>395</v>
      </c>
      <c r="C614" s="2">
        <v>43186</v>
      </c>
      <c r="D614" t="str">
        <f>"004810182276"</f>
        <v>004810182276</v>
      </c>
      <c r="E614" s="2">
        <v>43136</v>
      </c>
      <c r="F614">
        <v>0</v>
      </c>
      <c r="G614" s="2">
        <v>43186</v>
      </c>
      <c r="H614" s="2">
        <v>43189</v>
      </c>
      <c r="I614" t="s">
        <v>16</v>
      </c>
      <c r="J614">
        <v>4.26</v>
      </c>
      <c r="K614">
        <v>0.77</v>
      </c>
      <c r="L614">
        <v>3.49</v>
      </c>
      <c r="M614">
        <v>-3</v>
      </c>
      <c r="N614">
        <v>-10.47</v>
      </c>
      <c r="O614" s="1" t="s">
        <v>71</v>
      </c>
    </row>
    <row r="615" spans="1:15" ht="15">
      <c r="A615" s="6" t="s">
        <v>140</v>
      </c>
      <c r="B615">
        <v>396</v>
      </c>
      <c r="C615" s="2">
        <v>43186</v>
      </c>
      <c r="D615" t="str">
        <f>"004810210097"</f>
        <v>004810210097</v>
      </c>
      <c r="E615" s="2">
        <v>43136</v>
      </c>
      <c r="F615">
        <v>0</v>
      </c>
      <c r="G615" s="2">
        <v>43186</v>
      </c>
      <c r="H615" s="2">
        <v>43189</v>
      </c>
      <c r="I615" t="s">
        <v>16</v>
      </c>
      <c r="J615">
        <v>123.09</v>
      </c>
      <c r="K615">
        <v>22.2</v>
      </c>
      <c r="L615">
        <v>100.89</v>
      </c>
      <c r="M615">
        <v>-3</v>
      </c>
      <c r="N615">
        <v>-302.67</v>
      </c>
      <c r="O615" s="1" t="s">
        <v>71</v>
      </c>
    </row>
    <row r="616" spans="1:15" ht="15">
      <c r="A616" s="6" t="s">
        <v>140</v>
      </c>
      <c r="B616">
        <v>394</v>
      </c>
      <c r="C616" s="2">
        <v>43186</v>
      </c>
      <c r="D616" t="str">
        <f>"004810209217"</f>
        <v>004810209217</v>
      </c>
      <c r="E616" s="2">
        <v>43136</v>
      </c>
      <c r="F616">
        <v>0</v>
      </c>
      <c r="G616" s="2">
        <v>43186</v>
      </c>
      <c r="H616" s="2">
        <v>43189</v>
      </c>
      <c r="I616" t="s">
        <v>16</v>
      </c>
      <c r="J616">
        <v>39.53</v>
      </c>
      <c r="K616">
        <v>7.13</v>
      </c>
      <c r="L616">
        <v>32.4</v>
      </c>
      <c r="M616">
        <v>-3</v>
      </c>
      <c r="N616">
        <v>-97.2</v>
      </c>
      <c r="O616" s="1" t="s">
        <v>71</v>
      </c>
    </row>
    <row r="617" spans="1:15" ht="15">
      <c r="A617" s="6" t="s">
        <v>140</v>
      </c>
      <c r="B617">
        <v>396</v>
      </c>
      <c r="C617" s="2">
        <v>43186</v>
      </c>
      <c r="D617" t="str">
        <f>"004810210089"</f>
        <v>004810210089</v>
      </c>
      <c r="E617" s="2">
        <v>43136</v>
      </c>
      <c r="F617">
        <v>0</v>
      </c>
      <c r="G617" s="2">
        <v>43186</v>
      </c>
      <c r="H617" s="2">
        <v>43189</v>
      </c>
      <c r="I617" t="s">
        <v>16</v>
      </c>
      <c r="J617">
        <v>100.53</v>
      </c>
      <c r="K617">
        <v>18.13</v>
      </c>
      <c r="L617">
        <v>82.4</v>
      </c>
      <c r="M617">
        <v>-3</v>
      </c>
      <c r="N617">
        <v>-247.2</v>
      </c>
      <c r="O617" s="1" t="s">
        <v>71</v>
      </c>
    </row>
    <row r="618" spans="1:15" ht="15">
      <c r="A618" s="6" t="s">
        <v>140</v>
      </c>
      <c r="B618">
        <v>396</v>
      </c>
      <c r="C618" s="2">
        <v>43186</v>
      </c>
      <c r="D618" t="str">
        <f>"004810210108"</f>
        <v>004810210108</v>
      </c>
      <c r="E618" s="2">
        <v>43136</v>
      </c>
      <c r="F618">
        <v>0</v>
      </c>
      <c r="G618" s="2">
        <v>43186</v>
      </c>
      <c r="H618" s="2">
        <v>43189</v>
      </c>
      <c r="I618" t="s">
        <v>16</v>
      </c>
      <c r="J618">
        <v>37</v>
      </c>
      <c r="K618">
        <v>6.67</v>
      </c>
      <c r="L618">
        <v>30.33</v>
      </c>
      <c r="M618">
        <v>-3</v>
      </c>
      <c r="N618">
        <v>-90.99</v>
      </c>
      <c r="O618" s="1" t="s">
        <v>71</v>
      </c>
    </row>
    <row r="619" spans="1:15" ht="15">
      <c r="A619" s="6" t="s">
        <v>140</v>
      </c>
      <c r="B619">
        <v>394</v>
      </c>
      <c r="C619" s="2">
        <v>43186</v>
      </c>
      <c r="D619" t="str">
        <f>"004810209211"</f>
        <v>004810209211</v>
      </c>
      <c r="E619" s="2">
        <v>43136</v>
      </c>
      <c r="F619">
        <v>0</v>
      </c>
      <c r="G619" s="2">
        <v>43186</v>
      </c>
      <c r="H619" s="2">
        <v>43189</v>
      </c>
      <c r="I619" t="s">
        <v>16</v>
      </c>
      <c r="J619">
        <v>58.26</v>
      </c>
      <c r="K619">
        <v>10.51</v>
      </c>
      <c r="L619">
        <v>47.75</v>
      </c>
      <c r="M619">
        <v>-3</v>
      </c>
      <c r="N619">
        <v>-143.25</v>
      </c>
      <c r="O619" s="1" t="s">
        <v>71</v>
      </c>
    </row>
    <row r="620" spans="1:15" ht="15">
      <c r="A620" s="6" t="s">
        <v>140</v>
      </c>
      <c r="B620">
        <v>396</v>
      </c>
      <c r="C620" s="2">
        <v>43186</v>
      </c>
      <c r="D620" t="str">
        <f>"004810182275"</f>
        <v>004810182275</v>
      </c>
      <c r="E620" s="2">
        <v>43136</v>
      </c>
      <c r="F620">
        <v>0</v>
      </c>
      <c r="G620" s="2">
        <v>43186</v>
      </c>
      <c r="H620" s="2">
        <v>43189</v>
      </c>
      <c r="I620" t="s">
        <v>16</v>
      </c>
      <c r="J620">
        <v>30.67</v>
      </c>
      <c r="K620">
        <v>5.53</v>
      </c>
      <c r="L620">
        <v>25.14</v>
      </c>
      <c r="M620">
        <v>-3</v>
      </c>
      <c r="N620">
        <v>-75.42</v>
      </c>
      <c r="O620" s="1" t="s">
        <v>71</v>
      </c>
    </row>
    <row r="621" spans="1:15" ht="15">
      <c r="A621" s="6" t="s">
        <v>140</v>
      </c>
      <c r="B621">
        <v>396</v>
      </c>
      <c r="C621" s="2">
        <v>43186</v>
      </c>
      <c r="D621" t="str">
        <f>"004810210107"</f>
        <v>004810210107</v>
      </c>
      <c r="E621" s="2">
        <v>43136</v>
      </c>
      <c r="F621">
        <v>0</v>
      </c>
      <c r="G621" s="2">
        <v>43186</v>
      </c>
      <c r="H621" s="2">
        <v>43189</v>
      </c>
      <c r="I621" t="s">
        <v>16</v>
      </c>
      <c r="J621">
        <v>146.97</v>
      </c>
      <c r="K621">
        <v>26.5</v>
      </c>
      <c r="L621">
        <v>120.47</v>
      </c>
      <c r="M621">
        <v>-3</v>
      </c>
      <c r="N621">
        <v>-361.41</v>
      </c>
      <c r="O621" s="1" t="s">
        <v>71</v>
      </c>
    </row>
    <row r="622" spans="1:15" ht="15">
      <c r="A622" s="6" t="s">
        <v>140</v>
      </c>
      <c r="B622">
        <v>395</v>
      </c>
      <c r="C622" s="2">
        <v>43186</v>
      </c>
      <c r="D622" t="str">
        <f>"004810182272"</f>
        <v>004810182272</v>
      </c>
      <c r="E622" s="2">
        <v>43136</v>
      </c>
      <c r="F622">
        <v>0</v>
      </c>
      <c r="G622" s="2">
        <v>43186</v>
      </c>
      <c r="H622" s="2">
        <v>43189</v>
      </c>
      <c r="I622" t="s">
        <v>16</v>
      </c>
      <c r="J622">
        <v>2.94</v>
      </c>
      <c r="K622">
        <v>0.53</v>
      </c>
      <c r="L622">
        <v>2.41</v>
      </c>
      <c r="M622">
        <v>-3</v>
      </c>
      <c r="N622">
        <v>-7.23</v>
      </c>
      <c r="O622" s="1" t="s">
        <v>71</v>
      </c>
    </row>
    <row r="623" spans="1:15" ht="15">
      <c r="A623" s="6" t="s">
        <v>140</v>
      </c>
      <c r="B623">
        <v>395</v>
      </c>
      <c r="C623" s="2">
        <v>43186</v>
      </c>
      <c r="D623" t="str">
        <f>"004810210080"</f>
        <v>004810210080</v>
      </c>
      <c r="E623" s="2">
        <v>43136</v>
      </c>
      <c r="F623">
        <v>0</v>
      </c>
      <c r="G623" s="2">
        <v>43186</v>
      </c>
      <c r="H623" s="2">
        <v>43189</v>
      </c>
      <c r="I623" t="s">
        <v>16</v>
      </c>
      <c r="J623">
        <v>151.27</v>
      </c>
      <c r="K623">
        <v>27.28</v>
      </c>
      <c r="L623">
        <v>123.99</v>
      </c>
      <c r="M623">
        <v>-3</v>
      </c>
      <c r="N623">
        <v>-371.97</v>
      </c>
      <c r="O623" s="1" t="s">
        <v>71</v>
      </c>
    </row>
    <row r="624" spans="1:15" ht="15">
      <c r="A624" s="6" t="s">
        <v>140</v>
      </c>
      <c r="B624">
        <v>388</v>
      </c>
      <c r="C624" s="2">
        <v>43186</v>
      </c>
      <c r="D624" t="str">
        <f>"004810210113"</f>
        <v>004810210113</v>
      </c>
      <c r="E624" s="2">
        <v>43136</v>
      </c>
      <c r="F624">
        <v>0</v>
      </c>
      <c r="G624" s="2">
        <v>43186</v>
      </c>
      <c r="H624" s="2">
        <v>43189</v>
      </c>
      <c r="I624" t="s">
        <v>16</v>
      </c>
      <c r="J624">
        <v>711.67</v>
      </c>
      <c r="K624">
        <v>128.33</v>
      </c>
      <c r="L624">
        <v>583.34</v>
      </c>
      <c r="M624">
        <v>-3</v>
      </c>
      <c r="N624" s="3">
        <v>-1750.02</v>
      </c>
      <c r="O624" s="1" t="s">
        <v>71</v>
      </c>
    </row>
    <row r="625" spans="1:15" ht="15">
      <c r="A625" s="6" t="s">
        <v>140</v>
      </c>
      <c r="B625">
        <v>392</v>
      </c>
      <c r="C625" s="2">
        <v>43186</v>
      </c>
      <c r="D625" t="str">
        <f>"004810209216"</f>
        <v>004810209216</v>
      </c>
      <c r="E625" s="2">
        <v>43136</v>
      </c>
      <c r="F625">
        <v>0</v>
      </c>
      <c r="G625" s="2">
        <v>43186</v>
      </c>
      <c r="H625" s="2">
        <v>43189</v>
      </c>
      <c r="I625" t="s">
        <v>16</v>
      </c>
      <c r="J625">
        <v>111.67</v>
      </c>
      <c r="K625">
        <v>20.14</v>
      </c>
      <c r="L625">
        <v>91.53</v>
      </c>
      <c r="M625">
        <v>-3</v>
      </c>
      <c r="N625">
        <v>-274.59</v>
      </c>
      <c r="O625" s="1" t="s">
        <v>71</v>
      </c>
    </row>
    <row r="626" spans="1:15" ht="15">
      <c r="A626" s="6" t="s">
        <v>140</v>
      </c>
      <c r="B626">
        <v>395</v>
      </c>
      <c r="C626" s="2">
        <v>43186</v>
      </c>
      <c r="D626" t="str">
        <f>"004810210092"</f>
        <v>004810210092</v>
      </c>
      <c r="E626" s="2">
        <v>43136</v>
      </c>
      <c r="F626">
        <v>0</v>
      </c>
      <c r="G626" s="2">
        <v>43186</v>
      </c>
      <c r="H626" s="2">
        <v>43189</v>
      </c>
      <c r="I626" t="s">
        <v>16</v>
      </c>
      <c r="J626">
        <v>356.29</v>
      </c>
      <c r="K626">
        <v>64.25</v>
      </c>
      <c r="L626">
        <v>292.04</v>
      </c>
      <c r="M626">
        <v>-3</v>
      </c>
      <c r="N626">
        <v>-876.12</v>
      </c>
      <c r="O626" s="1" t="s">
        <v>71</v>
      </c>
    </row>
    <row r="627" spans="1:15" ht="15">
      <c r="A627" s="6" t="s">
        <v>140</v>
      </c>
      <c r="B627">
        <v>396</v>
      </c>
      <c r="C627" s="2">
        <v>43186</v>
      </c>
      <c r="D627" t="str">
        <f>"004810210109"</f>
        <v>004810210109</v>
      </c>
      <c r="E627" s="2">
        <v>43136</v>
      </c>
      <c r="F627">
        <v>0</v>
      </c>
      <c r="G627" s="2">
        <v>43186</v>
      </c>
      <c r="H627" s="2">
        <v>43189</v>
      </c>
      <c r="I627" t="s">
        <v>16</v>
      </c>
      <c r="J627">
        <v>106.18</v>
      </c>
      <c r="K627">
        <v>19.15</v>
      </c>
      <c r="L627">
        <v>87.03</v>
      </c>
      <c r="M627">
        <v>-3</v>
      </c>
      <c r="N627">
        <v>-261.09</v>
      </c>
      <c r="O627" s="1" t="s">
        <v>71</v>
      </c>
    </row>
    <row r="628" spans="1:15" ht="15">
      <c r="A628" s="6" t="s">
        <v>140</v>
      </c>
      <c r="B628">
        <v>392</v>
      </c>
      <c r="C628" s="2">
        <v>43186</v>
      </c>
      <c r="D628" t="str">
        <f>"004810209208"</f>
        <v>004810209208</v>
      </c>
      <c r="E628" s="2">
        <v>43136</v>
      </c>
      <c r="F628">
        <v>0</v>
      </c>
      <c r="G628" s="2">
        <v>43186</v>
      </c>
      <c r="H628" s="2">
        <v>43189</v>
      </c>
      <c r="I628" t="s">
        <v>16</v>
      </c>
      <c r="J628">
        <v>277.05</v>
      </c>
      <c r="K628">
        <v>49.96</v>
      </c>
      <c r="L628">
        <v>227.09</v>
      </c>
      <c r="M628">
        <v>-3</v>
      </c>
      <c r="N628">
        <v>-681.27</v>
      </c>
      <c r="O628" s="1" t="s">
        <v>71</v>
      </c>
    </row>
    <row r="629" spans="1:15" ht="15">
      <c r="A629" s="6" t="s">
        <v>140</v>
      </c>
      <c r="B629">
        <v>392</v>
      </c>
      <c r="C629" s="2">
        <v>43186</v>
      </c>
      <c r="D629" t="str">
        <f>"004810182264"</f>
        <v>004810182264</v>
      </c>
      <c r="E629" s="2">
        <v>43136</v>
      </c>
      <c r="F629">
        <v>0</v>
      </c>
      <c r="G629" s="2">
        <v>43186</v>
      </c>
      <c r="H629" s="2">
        <v>43189</v>
      </c>
      <c r="I629" t="s">
        <v>16</v>
      </c>
      <c r="J629">
        <v>8.52</v>
      </c>
      <c r="K629">
        <v>1.54</v>
      </c>
      <c r="L629">
        <v>6.98</v>
      </c>
      <c r="M629">
        <v>-3</v>
      </c>
      <c r="N629">
        <v>-20.94</v>
      </c>
      <c r="O629" s="1" t="s">
        <v>71</v>
      </c>
    </row>
    <row r="630" spans="1:15" ht="15">
      <c r="A630" s="6" t="s">
        <v>140</v>
      </c>
      <c r="B630">
        <v>395</v>
      </c>
      <c r="C630" s="2">
        <v>43186</v>
      </c>
      <c r="D630" t="str">
        <f>"004810210101"</f>
        <v>004810210101</v>
      </c>
      <c r="E630" s="2">
        <v>43136</v>
      </c>
      <c r="F630">
        <v>0</v>
      </c>
      <c r="G630" s="2">
        <v>43186</v>
      </c>
      <c r="H630" s="2">
        <v>43189</v>
      </c>
      <c r="I630" t="s">
        <v>16</v>
      </c>
      <c r="J630">
        <v>51.92</v>
      </c>
      <c r="K630">
        <v>9.36</v>
      </c>
      <c r="L630">
        <v>42.56</v>
      </c>
      <c r="M630">
        <v>-3</v>
      </c>
      <c r="N630">
        <v>-127.68</v>
      </c>
      <c r="O630" s="1" t="s">
        <v>71</v>
      </c>
    </row>
    <row r="631" spans="1:15" ht="15">
      <c r="A631" s="6" t="s">
        <v>140</v>
      </c>
      <c r="B631">
        <v>396</v>
      </c>
      <c r="C631" s="2">
        <v>43186</v>
      </c>
      <c r="D631" t="str">
        <f>"004810210088"</f>
        <v>004810210088</v>
      </c>
      <c r="E631" s="2">
        <v>43136</v>
      </c>
      <c r="F631">
        <v>0</v>
      </c>
      <c r="G631" s="2">
        <v>43186</v>
      </c>
      <c r="H631" s="2">
        <v>43189</v>
      </c>
      <c r="I631" t="s">
        <v>16</v>
      </c>
      <c r="J631">
        <v>257.62</v>
      </c>
      <c r="K631">
        <v>46.46</v>
      </c>
      <c r="L631">
        <v>211.16</v>
      </c>
      <c r="M631">
        <v>-3</v>
      </c>
      <c r="N631">
        <v>-633.48</v>
      </c>
      <c r="O631" s="1" t="s">
        <v>71</v>
      </c>
    </row>
    <row r="632" spans="1:15" ht="15">
      <c r="A632" s="6" t="s">
        <v>140</v>
      </c>
      <c r="B632">
        <v>396</v>
      </c>
      <c r="C632" s="2">
        <v>43186</v>
      </c>
      <c r="D632" t="str">
        <f>"004810182273"</f>
        <v>004810182273</v>
      </c>
      <c r="E632" s="2">
        <v>43136</v>
      </c>
      <c r="F632">
        <v>0</v>
      </c>
      <c r="G632" s="2">
        <v>43186</v>
      </c>
      <c r="H632" s="2">
        <v>43189</v>
      </c>
      <c r="I632" t="s">
        <v>16</v>
      </c>
      <c r="J632">
        <v>1.27</v>
      </c>
      <c r="K632">
        <v>0.23</v>
      </c>
      <c r="L632">
        <v>1.04</v>
      </c>
      <c r="M632">
        <v>-3</v>
      </c>
      <c r="N632">
        <v>-3.12</v>
      </c>
      <c r="O632" s="1" t="s">
        <v>71</v>
      </c>
    </row>
    <row r="633" spans="1:15" ht="15">
      <c r="A633" s="6" t="s">
        <v>140</v>
      </c>
      <c r="B633">
        <v>395</v>
      </c>
      <c r="C633" s="2">
        <v>43186</v>
      </c>
      <c r="D633" t="str">
        <f>"004810210082"</f>
        <v>004810210082</v>
      </c>
      <c r="E633" s="2">
        <v>43136</v>
      </c>
      <c r="F633">
        <v>0</v>
      </c>
      <c r="G633" s="2">
        <v>43186</v>
      </c>
      <c r="H633" s="2">
        <v>43189</v>
      </c>
      <c r="I633" t="s">
        <v>16</v>
      </c>
      <c r="J633">
        <v>40.92</v>
      </c>
      <c r="K633">
        <v>7.38</v>
      </c>
      <c r="L633">
        <v>33.54</v>
      </c>
      <c r="M633">
        <v>-3</v>
      </c>
      <c r="N633">
        <v>-100.62</v>
      </c>
      <c r="O633" s="1" t="s">
        <v>71</v>
      </c>
    </row>
    <row r="634" spans="1:15" ht="15">
      <c r="A634" s="6" t="s">
        <v>140</v>
      </c>
      <c r="B634">
        <v>395</v>
      </c>
      <c r="C634" s="2">
        <v>43186</v>
      </c>
      <c r="D634" t="str">
        <f>"004810210112"</f>
        <v>004810210112</v>
      </c>
      <c r="E634" s="2">
        <v>43136</v>
      </c>
      <c r="F634">
        <v>0</v>
      </c>
      <c r="G634" s="2">
        <v>43186</v>
      </c>
      <c r="H634" s="2">
        <v>43189</v>
      </c>
      <c r="I634" t="s">
        <v>16</v>
      </c>
      <c r="J634">
        <v>8.52</v>
      </c>
      <c r="K634">
        <v>1.54</v>
      </c>
      <c r="L634">
        <v>6.98</v>
      </c>
      <c r="M634">
        <v>-3</v>
      </c>
      <c r="N634">
        <v>-20.94</v>
      </c>
      <c r="O634" s="1" t="s">
        <v>71</v>
      </c>
    </row>
    <row r="635" spans="1:15" ht="15">
      <c r="A635" s="6" t="s">
        <v>140</v>
      </c>
      <c r="B635">
        <v>392</v>
      </c>
      <c r="C635" s="2">
        <v>43186</v>
      </c>
      <c r="D635" t="str">
        <f>"004810180301"</f>
        <v>004810180301</v>
      </c>
      <c r="E635" s="2">
        <v>43136</v>
      </c>
      <c r="F635">
        <v>0</v>
      </c>
      <c r="G635" s="2">
        <v>43186</v>
      </c>
      <c r="H635" s="2">
        <v>43189</v>
      </c>
      <c r="I635" t="s">
        <v>16</v>
      </c>
      <c r="J635">
        <v>28.21</v>
      </c>
      <c r="K635">
        <v>5.09</v>
      </c>
      <c r="L635">
        <v>23.12</v>
      </c>
      <c r="M635">
        <v>-3</v>
      </c>
      <c r="N635">
        <v>-69.36</v>
      </c>
      <c r="O635" s="1" t="s">
        <v>71</v>
      </c>
    </row>
    <row r="636" spans="1:15" ht="15">
      <c r="A636" s="6" t="s">
        <v>140</v>
      </c>
      <c r="B636">
        <v>394</v>
      </c>
      <c r="C636" s="2">
        <v>43186</v>
      </c>
      <c r="D636" t="str">
        <f>"004810209209"</f>
        <v>004810209209</v>
      </c>
      <c r="E636" s="2">
        <v>43136</v>
      </c>
      <c r="F636">
        <v>0</v>
      </c>
      <c r="G636" s="2">
        <v>43186</v>
      </c>
      <c r="H636" s="2">
        <v>43189</v>
      </c>
      <c r="I636" t="s">
        <v>16</v>
      </c>
      <c r="J636">
        <v>29.96</v>
      </c>
      <c r="K636">
        <v>5.4</v>
      </c>
      <c r="L636">
        <v>24.56</v>
      </c>
      <c r="M636">
        <v>-3</v>
      </c>
      <c r="N636">
        <v>-73.68</v>
      </c>
      <c r="O636" s="1" t="s">
        <v>71</v>
      </c>
    </row>
    <row r="637" spans="1:15" ht="15">
      <c r="A637" s="6" t="s">
        <v>140</v>
      </c>
      <c r="B637">
        <v>395</v>
      </c>
      <c r="C637" s="2">
        <v>43186</v>
      </c>
      <c r="D637" t="str">
        <f>"004810210091"</f>
        <v>004810210091</v>
      </c>
      <c r="E637" s="2">
        <v>43136</v>
      </c>
      <c r="F637">
        <v>0</v>
      </c>
      <c r="G637" s="2">
        <v>43186</v>
      </c>
      <c r="H637" s="2">
        <v>43189</v>
      </c>
      <c r="I637" t="s">
        <v>16</v>
      </c>
      <c r="J637">
        <v>133.71</v>
      </c>
      <c r="K637">
        <v>24.11</v>
      </c>
      <c r="L637">
        <v>109.6</v>
      </c>
      <c r="M637">
        <v>-3</v>
      </c>
      <c r="N637">
        <v>-328.8</v>
      </c>
      <c r="O637" s="1" t="s">
        <v>71</v>
      </c>
    </row>
    <row r="638" spans="1:15" ht="15">
      <c r="A638" s="6" t="s">
        <v>140</v>
      </c>
      <c r="B638">
        <v>396</v>
      </c>
      <c r="C638" s="2">
        <v>43186</v>
      </c>
      <c r="D638" t="str">
        <f>"004810210077"</f>
        <v>004810210077</v>
      </c>
      <c r="E638" s="2">
        <v>43136</v>
      </c>
      <c r="F638">
        <v>0</v>
      </c>
      <c r="G638" s="2">
        <v>43186</v>
      </c>
      <c r="H638" s="2">
        <v>43189</v>
      </c>
      <c r="I638" t="s">
        <v>16</v>
      </c>
      <c r="J638">
        <v>92.4</v>
      </c>
      <c r="K638">
        <v>16.66</v>
      </c>
      <c r="L638">
        <v>75.74</v>
      </c>
      <c r="M638">
        <v>-3</v>
      </c>
      <c r="N638">
        <v>-227.22</v>
      </c>
      <c r="O638" s="1" t="s">
        <v>71</v>
      </c>
    </row>
    <row r="639" spans="1:15" ht="15">
      <c r="A639" s="6" t="s">
        <v>140</v>
      </c>
      <c r="B639">
        <v>396</v>
      </c>
      <c r="C639" s="2">
        <v>43186</v>
      </c>
      <c r="D639" t="str">
        <f>"004810210114"</f>
        <v>004810210114</v>
      </c>
      <c r="E639" s="2">
        <v>43136</v>
      </c>
      <c r="F639">
        <v>0</v>
      </c>
      <c r="G639" s="2">
        <v>43186</v>
      </c>
      <c r="H639" s="2">
        <v>43189</v>
      </c>
      <c r="I639" t="s">
        <v>16</v>
      </c>
      <c r="J639">
        <v>123.45</v>
      </c>
      <c r="K639">
        <v>22.26</v>
      </c>
      <c r="L639">
        <v>101.19</v>
      </c>
      <c r="M639">
        <v>-3</v>
      </c>
      <c r="N639">
        <v>-303.57</v>
      </c>
      <c r="O639" s="1" t="s">
        <v>71</v>
      </c>
    </row>
    <row r="640" spans="1:15" ht="15">
      <c r="A640" s="6" t="s">
        <v>140</v>
      </c>
      <c r="B640">
        <v>395</v>
      </c>
      <c r="C640" s="2">
        <v>43186</v>
      </c>
      <c r="D640" t="str">
        <f>"004810210096"</f>
        <v>004810210096</v>
      </c>
      <c r="E640" s="2">
        <v>43136</v>
      </c>
      <c r="F640">
        <v>0</v>
      </c>
      <c r="G640" s="2">
        <v>43186</v>
      </c>
      <c r="H640" s="2">
        <v>43189</v>
      </c>
      <c r="I640" t="s">
        <v>16</v>
      </c>
      <c r="J640">
        <v>286.22</v>
      </c>
      <c r="K640">
        <v>51.61</v>
      </c>
      <c r="L640">
        <v>234.61</v>
      </c>
      <c r="M640">
        <v>-3</v>
      </c>
      <c r="N640">
        <v>-703.83</v>
      </c>
      <c r="O640" s="1" t="s">
        <v>71</v>
      </c>
    </row>
    <row r="641" spans="1:15" ht="15">
      <c r="A641" s="6" t="s">
        <v>140</v>
      </c>
      <c r="B641">
        <v>390</v>
      </c>
      <c r="C641" s="2">
        <v>43186</v>
      </c>
      <c r="D641" t="str">
        <f>"004810209203"</f>
        <v>004810209203</v>
      </c>
      <c r="E641" s="2">
        <v>43136</v>
      </c>
      <c r="F641">
        <v>0</v>
      </c>
      <c r="G641" s="2">
        <v>43186</v>
      </c>
      <c r="H641" s="2">
        <v>43189</v>
      </c>
      <c r="I641" t="s">
        <v>16</v>
      </c>
      <c r="J641">
        <v>60.02</v>
      </c>
      <c r="K641">
        <v>10.82</v>
      </c>
      <c r="L641">
        <v>49.2</v>
      </c>
      <c r="M641">
        <v>-3</v>
      </c>
      <c r="N641">
        <v>-147.6</v>
      </c>
      <c r="O641" s="1" t="s">
        <v>71</v>
      </c>
    </row>
    <row r="642" spans="1:15" ht="15">
      <c r="A642" s="6" t="s">
        <v>140</v>
      </c>
      <c r="B642">
        <v>392</v>
      </c>
      <c r="C642" s="2">
        <v>43186</v>
      </c>
      <c r="D642" t="str">
        <f>"004810180300"</f>
        <v>004810180300</v>
      </c>
      <c r="E642" s="2">
        <v>43136</v>
      </c>
      <c r="F642">
        <v>0</v>
      </c>
      <c r="G642" s="2">
        <v>43186</v>
      </c>
      <c r="H642" s="2">
        <v>43189</v>
      </c>
      <c r="I642" t="s">
        <v>16</v>
      </c>
      <c r="J642">
        <v>174.14</v>
      </c>
      <c r="K642">
        <v>31.4</v>
      </c>
      <c r="L642">
        <v>142.74</v>
      </c>
      <c r="M642">
        <v>-3</v>
      </c>
      <c r="N642">
        <v>-428.22</v>
      </c>
      <c r="O642" s="1" t="s">
        <v>71</v>
      </c>
    </row>
    <row r="643" spans="1:15" ht="15">
      <c r="A643" s="6" t="s">
        <v>140</v>
      </c>
      <c r="B643">
        <v>395</v>
      </c>
      <c r="C643" s="2">
        <v>43186</v>
      </c>
      <c r="D643" t="str">
        <f>"004810209205"</f>
        <v>004810209205</v>
      </c>
      <c r="E643" s="2">
        <v>43136</v>
      </c>
      <c r="F643">
        <v>0</v>
      </c>
      <c r="G643" s="2">
        <v>43186</v>
      </c>
      <c r="H643" s="2">
        <v>43189</v>
      </c>
      <c r="I643" t="s">
        <v>16</v>
      </c>
      <c r="J643" s="3">
        <v>1873.05</v>
      </c>
      <c r="K643">
        <v>337.76</v>
      </c>
      <c r="L643" s="3">
        <v>1535.29</v>
      </c>
      <c r="M643">
        <v>-3</v>
      </c>
      <c r="N643" s="3">
        <v>-4605.87</v>
      </c>
      <c r="O643" s="1" t="s">
        <v>71</v>
      </c>
    </row>
    <row r="644" spans="1:15" ht="15">
      <c r="A644" s="6" t="s">
        <v>140</v>
      </c>
      <c r="B644">
        <v>396</v>
      </c>
      <c r="C644" s="2">
        <v>43186</v>
      </c>
      <c r="D644" t="str">
        <f>"004810210099"</f>
        <v>004810210099</v>
      </c>
      <c r="E644" s="2">
        <v>43136</v>
      </c>
      <c r="F644">
        <v>0</v>
      </c>
      <c r="G644" s="2">
        <v>43186</v>
      </c>
      <c r="H644" s="2">
        <v>43189</v>
      </c>
      <c r="I644" t="s">
        <v>16</v>
      </c>
      <c r="J644">
        <v>43.16</v>
      </c>
      <c r="K644">
        <v>7.78</v>
      </c>
      <c r="L644">
        <v>35.38</v>
      </c>
      <c r="M644">
        <v>-3</v>
      </c>
      <c r="N644">
        <v>-106.14</v>
      </c>
      <c r="O644" s="1" t="s">
        <v>71</v>
      </c>
    </row>
    <row r="645" spans="1:15" ht="15">
      <c r="A645" s="6" t="s">
        <v>140</v>
      </c>
      <c r="B645">
        <v>396</v>
      </c>
      <c r="C645" s="2">
        <v>43186</v>
      </c>
      <c r="D645" t="str">
        <f>"004810182270"</f>
        <v>004810182270</v>
      </c>
      <c r="E645" s="2">
        <v>43136</v>
      </c>
      <c r="F645">
        <v>0</v>
      </c>
      <c r="G645" s="2">
        <v>43186</v>
      </c>
      <c r="H645" s="2">
        <v>43189</v>
      </c>
      <c r="I645" t="s">
        <v>16</v>
      </c>
      <c r="J645">
        <v>0.96</v>
      </c>
      <c r="K645">
        <v>0.17</v>
      </c>
      <c r="L645">
        <v>0.79</v>
      </c>
      <c r="M645">
        <v>-3</v>
      </c>
      <c r="N645">
        <v>-2.37</v>
      </c>
      <c r="O645" s="1" t="s">
        <v>71</v>
      </c>
    </row>
    <row r="646" spans="1:15" ht="15">
      <c r="A646" s="6" t="s">
        <v>140</v>
      </c>
      <c r="B646">
        <v>396</v>
      </c>
      <c r="C646" s="2">
        <v>43186</v>
      </c>
      <c r="D646" t="str">
        <f>"004810210110"</f>
        <v>004810210110</v>
      </c>
      <c r="E646" s="2">
        <v>43136</v>
      </c>
      <c r="F646">
        <v>0</v>
      </c>
      <c r="G646" s="2">
        <v>43186</v>
      </c>
      <c r="H646" s="2">
        <v>43189</v>
      </c>
      <c r="I646" t="s">
        <v>16</v>
      </c>
      <c r="J646">
        <v>176.14</v>
      </c>
      <c r="K646">
        <v>31.76</v>
      </c>
      <c r="L646">
        <v>144.38</v>
      </c>
      <c r="M646">
        <v>-3</v>
      </c>
      <c r="N646">
        <v>-433.14</v>
      </c>
      <c r="O646" s="1" t="s">
        <v>71</v>
      </c>
    </row>
    <row r="647" spans="1:15" ht="15">
      <c r="A647" s="6" t="s">
        <v>140</v>
      </c>
      <c r="B647">
        <v>392</v>
      </c>
      <c r="C647" s="2">
        <v>43186</v>
      </c>
      <c r="D647" t="str">
        <f>"004810209214"</f>
        <v>004810209214</v>
      </c>
      <c r="E647" s="2">
        <v>43136</v>
      </c>
      <c r="F647">
        <v>0</v>
      </c>
      <c r="G647" s="2">
        <v>43186</v>
      </c>
      <c r="H647" s="2">
        <v>43189</v>
      </c>
      <c r="I647" t="s">
        <v>16</v>
      </c>
      <c r="J647">
        <v>139.3</v>
      </c>
      <c r="K647">
        <v>25.12</v>
      </c>
      <c r="L647">
        <v>114.18</v>
      </c>
      <c r="M647">
        <v>-3</v>
      </c>
      <c r="N647">
        <v>-342.54</v>
      </c>
      <c r="O647" s="1" t="s">
        <v>71</v>
      </c>
    </row>
    <row r="648" spans="1:15" ht="15">
      <c r="A648" s="6" t="s">
        <v>140</v>
      </c>
      <c r="B648">
        <v>395</v>
      </c>
      <c r="C648" s="2">
        <v>43186</v>
      </c>
      <c r="D648" t="str">
        <f>"004810210094"</f>
        <v>004810210094</v>
      </c>
      <c r="E648" s="2">
        <v>43136</v>
      </c>
      <c r="F648">
        <v>0</v>
      </c>
      <c r="G648" s="2">
        <v>43186</v>
      </c>
      <c r="H648" s="2">
        <v>43189</v>
      </c>
      <c r="I648" t="s">
        <v>16</v>
      </c>
      <c r="J648">
        <v>251.55</v>
      </c>
      <c r="K648">
        <v>45.36</v>
      </c>
      <c r="L648">
        <v>206.19</v>
      </c>
      <c r="M648">
        <v>-3</v>
      </c>
      <c r="N648">
        <v>-618.57</v>
      </c>
      <c r="O648" s="1" t="s">
        <v>71</v>
      </c>
    </row>
    <row r="649" spans="1:15" ht="15">
      <c r="A649" s="6" t="s">
        <v>140</v>
      </c>
      <c r="B649">
        <v>396</v>
      </c>
      <c r="C649" s="2">
        <v>43186</v>
      </c>
      <c r="D649" t="str">
        <f>"004810210086"</f>
        <v>004810210086</v>
      </c>
      <c r="E649" s="2">
        <v>43136</v>
      </c>
      <c r="F649">
        <v>0</v>
      </c>
      <c r="G649" s="2">
        <v>43186</v>
      </c>
      <c r="H649" s="2">
        <v>43189</v>
      </c>
      <c r="I649" t="s">
        <v>16</v>
      </c>
      <c r="J649">
        <v>94.32</v>
      </c>
      <c r="K649">
        <v>17.01</v>
      </c>
      <c r="L649">
        <v>77.31</v>
      </c>
      <c r="M649">
        <v>-3</v>
      </c>
      <c r="N649">
        <v>-231.93</v>
      </c>
      <c r="O649" s="1" t="s">
        <v>71</v>
      </c>
    </row>
    <row r="650" spans="1:15" ht="15">
      <c r="A650" s="6" t="s">
        <v>140</v>
      </c>
      <c r="B650">
        <v>396</v>
      </c>
      <c r="C650" s="2">
        <v>43186</v>
      </c>
      <c r="D650" t="str">
        <f>"004810210075"</f>
        <v>004810210075</v>
      </c>
      <c r="E650" s="2">
        <v>43136</v>
      </c>
      <c r="F650">
        <v>0</v>
      </c>
      <c r="G650" s="2">
        <v>43186</v>
      </c>
      <c r="H650" s="2">
        <v>43189</v>
      </c>
      <c r="I650" t="s">
        <v>16</v>
      </c>
      <c r="J650">
        <v>611.07</v>
      </c>
      <c r="K650">
        <v>110.19</v>
      </c>
      <c r="L650">
        <v>500.88</v>
      </c>
      <c r="M650">
        <v>-3</v>
      </c>
      <c r="N650" s="3">
        <v>-1502.64</v>
      </c>
      <c r="O650" s="1" t="s">
        <v>71</v>
      </c>
    </row>
    <row r="651" spans="1:15" ht="15">
      <c r="A651" s="6" t="s">
        <v>140</v>
      </c>
      <c r="B651">
        <v>396</v>
      </c>
      <c r="C651" s="2">
        <v>43186</v>
      </c>
      <c r="D651" t="str">
        <f>"004810182269"</f>
        <v>004810182269</v>
      </c>
      <c r="E651" s="2">
        <v>43136</v>
      </c>
      <c r="F651">
        <v>0</v>
      </c>
      <c r="G651" s="2">
        <v>43186</v>
      </c>
      <c r="H651" s="2">
        <v>43189</v>
      </c>
      <c r="I651" t="s">
        <v>16</v>
      </c>
      <c r="J651">
        <v>6.14</v>
      </c>
      <c r="K651">
        <v>1.11</v>
      </c>
      <c r="L651">
        <v>5.03</v>
      </c>
      <c r="M651">
        <v>-3</v>
      </c>
      <c r="N651">
        <v>-15.09</v>
      </c>
      <c r="O651" s="1" t="s">
        <v>71</v>
      </c>
    </row>
    <row r="652" spans="1:15" ht="15">
      <c r="A652" s="6" t="s">
        <v>140</v>
      </c>
      <c r="B652">
        <v>392</v>
      </c>
      <c r="C652" s="2">
        <v>43186</v>
      </c>
      <c r="D652" t="str">
        <f>"004810209206"</f>
        <v>004810209206</v>
      </c>
      <c r="E652" s="2">
        <v>43136</v>
      </c>
      <c r="F652">
        <v>0</v>
      </c>
      <c r="G652" s="2">
        <v>43186</v>
      </c>
      <c r="H652" s="2">
        <v>43189</v>
      </c>
      <c r="I652" t="s">
        <v>16</v>
      </c>
      <c r="J652">
        <v>60.34</v>
      </c>
      <c r="K652">
        <v>10.88</v>
      </c>
      <c r="L652">
        <v>49.46</v>
      </c>
      <c r="M652">
        <v>-3</v>
      </c>
      <c r="N652">
        <v>-148.38</v>
      </c>
      <c r="O652" s="1" t="s">
        <v>71</v>
      </c>
    </row>
    <row r="653" spans="1:15" ht="15">
      <c r="A653" s="6" t="s">
        <v>140</v>
      </c>
      <c r="B653">
        <v>395</v>
      </c>
      <c r="C653" s="2">
        <v>43186</v>
      </c>
      <c r="D653" t="str">
        <f>"004810210083"</f>
        <v>004810210083</v>
      </c>
      <c r="E653" s="2">
        <v>43136</v>
      </c>
      <c r="F653">
        <v>0</v>
      </c>
      <c r="G653" s="2">
        <v>43186</v>
      </c>
      <c r="H653" s="2">
        <v>43189</v>
      </c>
      <c r="I653" t="s">
        <v>16</v>
      </c>
      <c r="J653">
        <v>164.42</v>
      </c>
      <c r="K653">
        <v>29.65</v>
      </c>
      <c r="L653">
        <v>134.77</v>
      </c>
      <c r="M653">
        <v>-3</v>
      </c>
      <c r="N653">
        <v>-404.31</v>
      </c>
      <c r="O653" s="1" t="s">
        <v>71</v>
      </c>
    </row>
    <row r="654" spans="1:15" ht="15">
      <c r="A654" s="6" t="s">
        <v>140</v>
      </c>
      <c r="B654">
        <v>395</v>
      </c>
      <c r="C654" s="2">
        <v>43186</v>
      </c>
      <c r="D654" t="str">
        <f>"004810210090"</f>
        <v>004810210090</v>
      </c>
      <c r="E654" s="2">
        <v>43136</v>
      </c>
      <c r="F654">
        <v>0</v>
      </c>
      <c r="G654" s="2">
        <v>43186</v>
      </c>
      <c r="H654" s="2">
        <v>43189</v>
      </c>
      <c r="I654" t="s">
        <v>16</v>
      </c>
      <c r="J654">
        <v>171.57</v>
      </c>
      <c r="K654">
        <v>30.94</v>
      </c>
      <c r="L654">
        <v>140.63</v>
      </c>
      <c r="M654">
        <v>-3</v>
      </c>
      <c r="N654">
        <v>-421.89</v>
      </c>
      <c r="O654" s="1" t="s">
        <v>71</v>
      </c>
    </row>
    <row r="655" spans="1:15" ht="15">
      <c r="A655" s="6" t="s">
        <v>140</v>
      </c>
      <c r="B655">
        <v>392</v>
      </c>
      <c r="C655" s="2">
        <v>43186</v>
      </c>
      <c r="D655" t="str">
        <f>"004810210115"</f>
        <v>004810210115</v>
      </c>
      <c r="E655" s="2">
        <v>43136</v>
      </c>
      <c r="F655">
        <v>0</v>
      </c>
      <c r="G655" s="2">
        <v>43186</v>
      </c>
      <c r="H655" s="2">
        <v>43189</v>
      </c>
      <c r="I655" t="s">
        <v>16</v>
      </c>
      <c r="J655">
        <v>51.57</v>
      </c>
      <c r="K655">
        <v>9.3</v>
      </c>
      <c r="L655">
        <v>42.27</v>
      </c>
      <c r="M655">
        <v>-3</v>
      </c>
      <c r="N655">
        <v>-126.81</v>
      </c>
      <c r="O655" s="1" t="s">
        <v>71</v>
      </c>
    </row>
    <row r="656" spans="1:15" ht="15">
      <c r="A656" s="6" t="s">
        <v>140</v>
      </c>
      <c r="B656">
        <v>395</v>
      </c>
      <c r="C656" s="2">
        <v>43186</v>
      </c>
      <c r="D656" t="str">
        <f>"004810210111"</f>
        <v>004810210111</v>
      </c>
      <c r="E656" s="2">
        <v>43136</v>
      </c>
      <c r="F656">
        <v>0</v>
      </c>
      <c r="G656" s="2">
        <v>43186</v>
      </c>
      <c r="H656" s="2">
        <v>43189</v>
      </c>
      <c r="I656" t="s">
        <v>16</v>
      </c>
      <c r="J656">
        <v>759.58</v>
      </c>
      <c r="K656">
        <v>136.97</v>
      </c>
      <c r="L656">
        <v>622.61</v>
      </c>
      <c r="M656">
        <v>-3</v>
      </c>
      <c r="N656" s="3">
        <v>-1867.83</v>
      </c>
      <c r="O656" s="1" t="s">
        <v>71</v>
      </c>
    </row>
    <row r="657" spans="1:15" ht="15">
      <c r="A657" s="6" t="s">
        <v>140</v>
      </c>
      <c r="B657">
        <v>392</v>
      </c>
      <c r="C657" s="2">
        <v>43186</v>
      </c>
      <c r="D657" t="str">
        <f>"004810209218"</f>
        <v>004810209218</v>
      </c>
      <c r="E657" s="2">
        <v>43136</v>
      </c>
      <c r="F657">
        <v>0</v>
      </c>
      <c r="G657" s="2">
        <v>43186</v>
      </c>
      <c r="H657" s="2">
        <v>43189</v>
      </c>
      <c r="I657" t="s">
        <v>16</v>
      </c>
      <c r="J657">
        <v>10.03</v>
      </c>
      <c r="K657">
        <v>1.81</v>
      </c>
      <c r="L657">
        <v>8.22</v>
      </c>
      <c r="M657">
        <v>-3</v>
      </c>
      <c r="N657">
        <v>-24.66</v>
      </c>
      <c r="O657" s="1" t="s">
        <v>71</v>
      </c>
    </row>
    <row r="658" spans="1:15" ht="15">
      <c r="A658" s="6" t="s">
        <v>140</v>
      </c>
      <c r="B658">
        <v>396</v>
      </c>
      <c r="C658" s="2">
        <v>43186</v>
      </c>
      <c r="D658" t="str">
        <f>"004810210098"</f>
        <v>004810210098</v>
      </c>
      <c r="E658" s="2">
        <v>43136</v>
      </c>
      <c r="F658">
        <v>0</v>
      </c>
      <c r="G658" s="2">
        <v>43186</v>
      </c>
      <c r="H658" s="2">
        <v>43189</v>
      </c>
      <c r="I658" t="s">
        <v>16</v>
      </c>
      <c r="J658">
        <v>33.01</v>
      </c>
      <c r="K658">
        <v>5.95</v>
      </c>
      <c r="L658">
        <v>27.06</v>
      </c>
      <c r="M658">
        <v>-3</v>
      </c>
      <c r="N658">
        <v>-81.18</v>
      </c>
      <c r="O658" s="1" t="s">
        <v>71</v>
      </c>
    </row>
    <row r="659" spans="1:15" ht="15">
      <c r="A659" s="6" t="s">
        <v>140</v>
      </c>
      <c r="B659">
        <v>395</v>
      </c>
      <c r="C659" s="2">
        <v>43186</v>
      </c>
      <c r="D659" t="str">
        <f>"004810210074"</f>
        <v>004810210074</v>
      </c>
      <c r="E659" s="2">
        <v>43136</v>
      </c>
      <c r="F659">
        <v>0</v>
      </c>
      <c r="G659" s="2">
        <v>43186</v>
      </c>
      <c r="H659" s="2">
        <v>43189</v>
      </c>
      <c r="I659" t="s">
        <v>16</v>
      </c>
      <c r="J659">
        <v>110.62</v>
      </c>
      <c r="K659">
        <v>19.95</v>
      </c>
      <c r="L659">
        <v>90.67</v>
      </c>
      <c r="M659">
        <v>-3</v>
      </c>
      <c r="N659">
        <v>-272.01</v>
      </c>
      <c r="O659" s="1" t="s">
        <v>71</v>
      </c>
    </row>
    <row r="660" spans="1:15" ht="15">
      <c r="A660" s="6" t="s">
        <v>140</v>
      </c>
      <c r="B660">
        <v>393</v>
      </c>
      <c r="C660" s="2">
        <v>43186</v>
      </c>
      <c r="D660" t="str">
        <f>"004810180297"</f>
        <v>004810180297</v>
      </c>
      <c r="E660" s="2">
        <v>43136</v>
      </c>
      <c r="F660">
        <v>0</v>
      </c>
      <c r="G660" s="2">
        <v>43186</v>
      </c>
      <c r="H660" s="2">
        <v>43189</v>
      </c>
      <c r="I660" t="s">
        <v>16</v>
      </c>
      <c r="J660">
        <v>421</v>
      </c>
      <c r="K660">
        <v>75.92</v>
      </c>
      <c r="L660">
        <v>345.08</v>
      </c>
      <c r="M660">
        <v>-3</v>
      </c>
      <c r="N660" s="3">
        <v>-1035.24</v>
      </c>
      <c r="O660" s="1" t="s">
        <v>71</v>
      </c>
    </row>
    <row r="661" spans="1:15" ht="15">
      <c r="A661" s="6" t="s">
        <v>140</v>
      </c>
      <c r="B661">
        <v>396</v>
      </c>
      <c r="C661" s="2">
        <v>43186</v>
      </c>
      <c r="D661" t="str">
        <f>"004810210078"</f>
        <v>004810210078</v>
      </c>
      <c r="E661" s="2">
        <v>43136</v>
      </c>
      <c r="F661">
        <v>0</v>
      </c>
      <c r="G661" s="2">
        <v>43186</v>
      </c>
      <c r="H661" s="2">
        <v>43189</v>
      </c>
      <c r="I661" t="s">
        <v>16</v>
      </c>
      <c r="J661">
        <v>113.81</v>
      </c>
      <c r="K661">
        <v>20.52</v>
      </c>
      <c r="L661">
        <v>93.29</v>
      </c>
      <c r="M661">
        <v>-3</v>
      </c>
      <c r="N661">
        <v>-279.87</v>
      </c>
      <c r="O661" s="1" t="s">
        <v>71</v>
      </c>
    </row>
    <row r="662" spans="1:15" ht="15">
      <c r="A662" s="6" t="s">
        <v>140</v>
      </c>
      <c r="B662">
        <v>395</v>
      </c>
      <c r="C662" s="2">
        <v>43186</v>
      </c>
      <c r="D662" t="str">
        <f>"004810210085"</f>
        <v>004810210085</v>
      </c>
      <c r="E662" s="2">
        <v>43136</v>
      </c>
      <c r="F662">
        <v>0</v>
      </c>
      <c r="G662" s="2">
        <v>43186</v>
      </c>
      <c r="H662" s="2">
        <v>43189</v>
      </c>
      <c r="I662" t="s">
        <v>16</v>
      </c>
      <c r="J662">
        <v>122.96</v>
      </c>
      <c r="K662">
        <v>22.17</v>
      </c>
      <c r="L662">
        <v>100.79</v>
      </c>
      <c r="M662">
        <v>-3</v>
      </c>
      <c r="N662">
        <v>-302.37</v>
      </c>
      <c r="O662" s="1" t="s">
        <v>71</v>
      </c>
    </row>
    <row r="663" spans="1:15" ht="15">
      <c r="A663" s="6" t="s">
        <v>140</v>
      </c>
      <c r="B663">
        <v>395</v>
      </c>
      <c r="C663" s="2">
        <v>43186</v>
      </c>
      <c r="D663" t="str">
        <f>"004810210106"</f>
        <v>004810210106</v>
      </c>
      <c r="E663" s="2">
        <v>43136</v>
      </c>
      <c r="F663">
        <v>0</v>
      </c>
      <c r="G663" s="2">
        <v>43186</v>
      </c>
      <c r="H663" s="2">
        <v>43189</v>
      </c>
      <c r="I663" t="s">
        <v>16</v>
      </c>
      <c r="J663">
        <v>117.21</v>
      </c>
      <c r="K663">
        <v>21.14</v>
      </c>
      <c r="L663">
        <v>96.07</v>
      </c>
      <c r="M663">
        <v>-3</v>
      </c>
      <c r="N663">
        <v>-288.21</v>
      </c>
      <c r="O663" s="1" t="s">
        <v>71</v>
      </c>
    </row>
    <row r="664" spans="1:15" ht="15">
      <c r="A664" s="6" t="s">
        <v>140</v>
      </c>
      <c r="B664">
        <v>392</v>
      </c>
      <c r="C664" s="2">
        <v>43186</v>
      </c>
      <c r="D664" t="str">
        <f>"004810209212"</f>
        <v>004810209212</v>
      </c>
      <c r="E664" s="2">
        <v>43136</v>
      </c>
      <c r="F664">
        <v>0</v>
      </c>
      <c r="G664" s="2">
        <v>43186</v>
      </c>
      <c r="H664" s="2">
        <v>43189</v>
      </c>
      <c r="I664" t="s">
        <v>16</v>
      </c>
      <c r="J664">
        <v>35.03</v>
      </c>
      <c r="K664">
        <v>6.32</v>
      </c>
      <c r="L664">
        <v>28.71</v>
      </c>
      <c r="M664">
        <v>-3</v>
      </c>
      <c r="N664">
        <v>-86.13</v>
      </c>
      <c r="O664" s="1" t="s">
        <v>71</v>
      </c>
    </row>
    <row r="665" spans="1:15" ht="15">
      <c r="A665" s="6" t="s">
        <v>140</v>
      </c>
      <c r="B665">
        <v>392</v>
      </c>
      <c r="C665" s="2">
        <v>43186</v>
      </c>
      <c r="D665" t="str">
        <f>"004810180299"</f>
        <v>004810180299</v>
      </c>
      <c r="E665" s="2">
        <v>43136</v>
      </c>
      <c r="F665">
        <v>0</v>
      </c>
      <c r="G665" s="2">
        <v>43186</v>
      </c>
      <c r="H665" s="2">
        <v>43189</v>
      </c>
      <c r="I665" t="s">
        <v>16</v>
      </c>
      <c r="J665">
        <v>10.89</v>
      </c>
      <c r="K665">
        <v>1.96</v>
      </c>
      <c r="L665">
        <v>8.93</v>
      </c>
      <c r="M665">
        <v>-3</v>
      </c>
      <c r="N665">
        <v>-26.79</v>
      </c>
      <c r="O665" s="1" t="s">
        <v>71</v>
      </c>
    </row>
    <row r="666" spans="1:15" ht="15">
      <c r="A666" s="6" t="s">
        <v>140</v>
      </c>
      <c r="B666">
        <v>396</v>
      </c>
      <c r="C666" s="2">
        <v>43186</v>
      </c>
      <c r="D666" t="str">
        <f>"004810210081"</f>
        <v>004810210081</v>
      </c>
      <c r="E666" s="2">
        <v>43136</v>
      </c>
      <c r="F666">
        <v>0</v>
      </c>
      <c r="G666" s="2">
        <v>43186</v>
      </c>
      <c r="H666" s="2">
        <v>43189</v>
      </c>
      <c r="I666" t="s">
        <v>16</v>
      </c>
      <c r="J666">
        <v>68.58</v>
      </c>
      <c r="K666">
        <v>12.37</v>
      </c>
      <c r="L666">
        <v>56.21</v>
      </c>
      <c r="M666">
        <v>-3</v>
      </c>
      <c r="N666">
        <v>-168.63</v>
      </c>
      <c r="O666" s="1" t="s">
        <v>71</v>
      </c>
    </row>
    <row r="667" spans="1:15" ht="15">
      <c r="A667" s="6" t="s">
        <v>140</v>
      </c>
      <c r="B667">
        <v>396</v>
      </c>
      <c r="C667" s="2">
        <v>43186</v>
      </c>
      <c r="D667" t="str">
        <f>"004810210103"</f>
        <v>004810210103</v>
      </c>
      <c r="E667" s="2">
        <v>43136</v>
      </c>
      <c r="F667">
        <v>0</v>
      </c>
      <c r="G667" s="2">
        <v>43186</v>
      </c>
      <c r="H667" s="2">
        <v>43189</v>
      </c>
      <c r="I667" t="s">
        <v>16</v>
      </c>
      <c r="J667">
        <v>106.73</v>
      </c>
      <c r="K667">
        <v>19.25</v>
      </c>
      <c r="L667">
        <v>87.48</v>
      </c>
      <c r="M667">
        <v>-3</v>
      </c>
      <c r="N667">
        <v>-262.44</v>
      </c>
      <c r="O667" s="1" t="s">
        <v>71</v>
      </c>
    </row>
    <row r="668" spans="1:15" ht="15">
      <c r="A668" s="6" t="s">
        <v>140</v>
      </c>
      <c r="B668">
        <v>396</v>
      </c>
      <c r="C668" s="2">
        <v>43186</v>
      </c>
      <c r="D668" t="str">
        <f>"004810210093"</f>
        <v>004810210093</v>
      </c>
      <c r="E668" s="2">
        <v>43136</v>
      </c>
      <c r="F668">
        <v>0</v>
      </c>
      <c r="G668" s="2">
        <v>43186</v>
      </c>
      <c r="H668" s="2">
        <v>43189</v>
      </c>
      <c r="I668" t="s">
        <v>16</v>
      </c>
      <c r="J668">
        <v>58</v>
      </c>
      <c r="K668">
        <v>10.46</v>
      </c>
      <c r="L668">
        <v>47.54</v>
      </c>
      <c r="M668">
        <v>-3</v>
      </c>
      <c r="N668">
        <v>-142.62</v>
      </c>
      <c r="O668" s="1" t="s">
        <v>71</v>
      </c>
    </row>
    <row r="669" spans="1:15" ht="15">
      <c r="A669" s="6" t="s">
        <v>140</v>
      </c>
      <c r="B669">
        <v>389</v>
      </c>
      <c r="C669" s="2">
        <v>43186</v>
      </c>
      <c r="D669" t="str">
        <f>"004810209213"</f>
        <v>004810209213</v>
      </c>
      <c r="E669" s="2">
        <v>43136</v>
      </c>
      <c r="F669">
        <v>0</v>
      </c>
      <c r="G669" s="2">
        <v>43186</v>
      </c>
      <c r="H669" s="2">
        <v>43189</v>
      </c>
      <c r="I669" t="s">
        <v>16</v>
      </c>
      <c r="J669">
        <v>206.11</v>
      </c>
      <c r="K669">
        <v>37.17</v>
      </c>
      <c r="L669">
        <v>168.94</v>
      </c>
      <c r="M669">
        <v>-3</v>
      </c>
      <c r="N669">
        <v>-506.82</v>
      </c>
      <c r="O669" s="1" t="s">
        <v>71</v>
      </c>
    </row>
    <row r="670" spans="1:15" ht="15">
      <c r="A670" s="6" t="s">
        <v>140</v>
      </c>
      <c r="B670">
        <v>395</v>
      </c>
      <c r="C670" s="2">
        <v>43186</v>
      </c>
      <c r="D670" t="str">
        <f>"004810182277"</f>
        <v>004810182277</v>
      </c>
      <c r="E670" s="2">
        <v>43136</v>
      </c>
      <c r="F670">
        <v>0</v>
      </c>
      <c r="G670" s="2">
        <v>43186</v>
      </c>
      <c r="H670" s="2">
        <v>43189</v>
      </c>
      <c r="I670" t="s">
        <v>16</v>
      </c>
      <c r="J670">
        <v>76.34</v>
      </c>
      <c r="K670">
        <v>13.77</v>
      </c>
      <c r="L670">
        <v>62.57</v>
      </c>
      <c r="M670">
        <v>-3</v>
      </c>
      <c r="N670">
        <v>-187.71</v>
      </c>
      <c r="O670" s="1" t="s">
        <v>71</v>
      </c>
    </row>
    <row r="671" spans="1:15" ht="15">
      <c r="A671" s="6" t="s">
        <v>140</v>
      </c>
      <c r="B671">
        <v>387</v>
      </c>
      <c r="C671" s="2">
        <v>43186</v>
      </c>
      <c r="D671" t="str">
        <f>"004810209215"</f>
        <v>004810209215</v>
      </c>
      <c r="E671" s="2">
        <v>43136</v>
      </c>
      <c r="F671">
        <v>0</v>
      </c>
      <c r="G671" s="2">
        <v>43186</v>
      </c>
      <c r="H671" s="2">
        <v>43189</v>
      </c>
      <c r="I671" t="s">
        <v>16</v>
      </c>
      <c r="J671">
        <v>209.14</v>
      </c>
      <c r="K671">
        <v>37.71</v>
      </c>
      <c r="L671">
        <v>171.43</v>
      </c>
      <c r="M671">
        <v>-3</v>
      </c>
      <c r="N671">
        <v>-514.29</v>
      </c>
      <c r="O671" s="1" t="s">
        <v>71</v>
      </c>
    </row>
    <row r="672" spans="1:15" ht="15">
      <c r="A672" s="6" t="s">
        <v>140</v>
      </c>
      <c r="B672">
        <v>395</v>
      </c>
      <c r="C672" s="2">
        <v>43186</v>
      </c>
      <c r="D672" t="str">
        <f>"004810210079"</f>
        <v>004810210079</v>
      </c>
      <c r="E672" s="2">
        <v>43136</v>
      </c>
      <c r="F672">
        <v>0</v>
      </c>
      <c r="G672" s="2">
        <v>43186</v>
      </c>
      <c r="H672" s="2">
        <v>43189</v>
      </c>
      <c r="I672" t="s">
        <v>16</v>
      </c>
      <c r="J672">
        <v>60.56</v>
      </c>
      <c r="K672">
        <v>10.92</v>
      </c>
      <c r="L672">
        <v>49.64</v>
      </c>
      <c r="M672">
        <v>-3</v>
      </c>
      <c r="N672">
        <v>-148.92</v>
      </c>
      <c r="O672" s="1" t="s">
        <v>71</v>
      </c>
    </row>
    <row r="673" spans="1:15" ht="15">
      <c r="A673" s="6" t="s">
        <v>140</v>
      </c>
      <c r="B673">
        <v>396</v>
      </c>
      <c r="C673" s="2">
        <v>43186</v>
      </c>
      <c r="D673" t="str">
        <f>"004810210095"</f>
        <v>004810210095</v>
      </c>
      <c r="E673" s="2">
        <v>43136</v>
      </c>
      <c r="F673">
        <v>0</v>
      </c>
      <c r="G673" s="2">
        <v>43186</v>
      </c>
      <c r="H673" s="2">
        <v>43189</v>
      </c>
      <c r="I673" t="s">
        <v>16</v>
      </c>
      <c r="J673">
        <v>154.57</v>
      </c>
      <c r="K673">
        <v>27.87</v>
      </c>
      <c r="L673">
        <v>126.7</v>
      </c>
      <c r="M673">
        <v>-3</v>
      </c>
      <c r="N673">
        <v>-380.1</v>
      </c>
      <c r="O673" s="1" t="s">
        <v>71</v>
      </c>
    </row>
    <row r="674" spans="1:15" ht="15">
      <c r="A674" s="6" t="s">
        <v>140</v>
      </c>
      <c r="B674">
        <v>395</v>
      </c>
      <c r="C674" s="2">
        <v>43186</v>
      </c>
      <c r="D674" t="str">
        <f>"004810210105"</f>
        <v>004810210105</v>
      </c>
      <c r="E674" s="2">
        <v>43136</v>
      </c>
      <c r="F674">
        <v>0</v>
      </c>
      <c r="G674" s="2">
        <v>43186</v>
      </c>
      <c r="H674" s="2">
        <v>43189</v>
      </c>
      <c r="I674" t="s">
        <v>16</v>
      </c>
      <c r="J674">
        <v>160.78</v>
      </c>
      <c r="K674">
        <v>28.99</v>
      </c>
      <c r="L674">
        <v>131.79</v>
      </c>
      <c r="M674">
        <v>-3</v>
      </c>
      <c r="N674">
        <v>-395.37</v>
      </c>
      <c r="O674" s="1" t="s">
        <v>71</v>
      </c>
    </row>
    <row r="675" spans="1:15" ht="15">
      <c r="A675" s="6" t="s">
        <v>140</v>
      </c>
      <c r="B675">
        <v>392</v>
      </c>
      <c r="C675" s="2">
        <v>43186</v>
      </c>
      <c r="D675" t="str">
        <f>"004810209207"</f>
        <v>004810209207</v>
      </c>
      <c r="E675" s="2">
        <v>43136</v>
      </c>
      <c r="F675">
        <v>0</v>
      </c>
      <c r="G675" s="2">
        <v>43186</v>
      </c>
      <c r="H675" s="2">
        <v>43189</v>
      </c>
      <c r="I675" t="s">
        <v>16</v>
      </c>
      <c r="J675">
        <v>36.1</v>
      </c>
      <c r="K675">
        <v>6.51</v>
      </c>
      <c r="L675">
        <v>29.59</v>
      </c>
      <c r="M675">
        <v>-3</v>
      </c>
      <c r="N675">
        <v>-88.77</v>
      </c>
      <c r="O675" s="1" t="s">
        <v>71</v>
      </c>
    </row>
    <row r="676" spans="1:15" ht="15">
      <c r="A676" s="6" t="s">
        <v>55</v>
      </c>
      <c r="B676">
        <v>197</v>
      </c>
      <c r="C676" s="2">
        <v>43152</v>
      </c>
      <c r="D676" t="s">
        <v>225</v>
      </c>
      <c r="E676" s="2">
        <v>43011</v>
      </c>
      <c r="F676">
        <v>0</v>
      </c>
      <c r="G676" s="2">
        <v>43152</v>
      </c>
      <c r="H676" s="2">
        <v>43155</v>
      </c>
      <c r="I676" t="s">
        <v>16</v>
      </c>
      <c r="J676">
        <v>190.37</v>
      </c>
      <c r="K676">
        <v>34.33</v>
      </c>
      <c r="L676">
        <v>156.04</v>
      </c>
      <c r="M676">
        <v>-3</v>
      </c>
      <c r="N676">
        <v>-468.12</v>
      </c>
      <c r="O676" s="1" t="s">
        <v>115</v>
      </c>
    </row>
    <row r="677" spans="1:15" ht="15">
      <c r="A677" s="6" t="s">
        <v>55</v>
      </c>
      <c r="B677">
        <v>198</v>
      </c>
      <c r="C677" s="2">
        <v>43152</v>
      </c>
      <c r="D677" t="s">
        <v>225</v>
      </c>
      <c r="E677" s="2">
        <v>43011</v>
      </c>
      <c r="F677">
        <v>0</v>
      </c>
      <c r="G677" s="2">
        <v>43152</v>
      </c>
      <c r="H677" s="2">
        <v>43155</v>
      </c>
      <c r="I677" t="s">
        <v>16</v>
      </c>
      <c r="J677">
        <v>187.83</v>
      </c>
      <c r="K677">
        <v>33.87</v>
      </c>
      <c r="L677">
        <v>153.96</v>
      </c>
      <c r="M677">
        <v>-3</v>
      </c>
      <c r="N677">
        <v>-461.88</v>
      </c>
      <c r="O677" s="1" t="s">
        <v>115</v>
      </c>
    </row>
    <row r="678" spans="1:15" ht="15">
      <c r="A678" s="6" t="s">
        <v>61</v>
      </c>
      <c r="B678">
        <v>402</v>
      </c>
      <c r="C678" s="2">
        <v>43186</v>
      </c>
      <c r="D678" t="s">
        <v>226</v>
      </c>
      <c r="E678" s="2">
        <v>43100</v>
      </c>
      <c r="F678">
        <v>0</v>
      </c>
      <c r="G678" s="2">
        <v>43186</v>
      </c>
      <c r="H678" s="2">
        <v>43190</v>
      </c>
      <c r="I678" t="s">
        <v>16</v>
      </c>
      <c r="J678">
        <v>320</v>
      </c>
      <c r="K678">
        <v>15.24</v>
      </c>
      <c r="L678">
        <v>304.76</v>
      </c>
      <c r="M678">
        <v>-4</v>
      </c>
      <c r="N678" s="3">
        <v>-1219.04</v>
      </c>
      <c r="O678" s="1" t="s">
        <v>71</v>
      </c>
    </row>
    <row r="679" spans="1:15" ht="15">
      <c r="A679" s="6" t="s">
        <v>109</v>
      </c>
      <c r="B679">
        <v>370</v>
      </c>
      <c r="C679" s="2">
        <v>43186</v>
      </c>
      <c r="D679" t="s">
        <v>227</v>
      </c>
      <c r="E679" s="2">
        <v>43100</v>
      </c>
      <c r="F679">
        <v>0</v>
      </c>
      <c r="G679" s="2">
        <v>43186</v>
      </c>
      <c r="H679" s="2">
        <v>43190</v>
      </c>
      <c r="I679" t="s">
        <v>16</v>
      </c>
      <c r="J679" s="3">
        <v>1469.26</v>
      </c>
      <c r="K679">
        <v>133.57</v>
      </c>
      <c r="L679" s="3">
        <v>1335.69</v>
      </c>
      <c r="M679">
        <v>-4</v>
      </c>
      <c r="N679" s="3">
        <v>-5342.76</v>
      </c>
      <c r="O679" s="1" t="s">
        <v>111</v>
      </c>
    </row>
    <row r="680" spans="1:15" ht="15">
      <c r="A680" s="6" t="s">
        <v>109</v>
      </c>
      <c r="B680">
        <v>372</v>
      </c>
      <c r="C680" s="2">
        <v>43186</v>
      </c>
      <c r="D680" t="s">
        <v>228</v>
      </c>
      <c r="E680" s="2">
        <v>43098</v>
      </c>
      <c r="F680">
        <v>0</v>
      </c>
      <c r="G680" s="2">
        <v>43186</v>
      </c>
      <c r="H680" s="2">
        <v>43190</v>
      </c>
      <c r="I680" t="s">
        <v>16</v>
      </c>
      <c r="J680">
        <v>732</v>
      </c>
      <c r="K680">
        <v>132</v>
      </c>
      <c r="L680">
        <v>600</v>
      </c>
      <c r="M680">
        <v>-4</v>
      </c>
      <c r="N680" s="3">
        <v>-2400</v>
      </c>
      <c r="O680" s="1" t="s">
        <v>111</v>
      </c>
    </row>
    <row r="681" spans="1:15" ht="15">
      <c r="A681" s="6" t="s">
        <v>109</v>
      </c>
      <c r="B681">
        <v>371</v>
      </c>
      <c r="C681" s="2">
        <v>43186</v>
      </c>
      <c r="D681" t="s">
        <v>227</v>
      </c>
      <c r="E681" s="2">
        <v>43100</v>
      </c>
      <c r="F681">
        <v>0</v>
      </c>
      <c r="G681" s="2">
        <v>43186</v>
      </c>
      <c r="H681" s="2">
        <v>43190</v>
      </c>
      <c r="I681" t="s">
        <v>16</v>
      </c>
      <c r="J681" s="3">
        <v>4515.59</v>
      </c>
      <c r="K681">
        <v>410.51</v>
      </c>
      <c r="L681" s="3">
        <v>4105.08</v>
      </c>
      <c r="M681">
        <v>-4</v>
      </c>
      <c r="N681" s="3">
        <v>-16420.32</v>
      </c>
      <c r="O681" s="1" t="s">
        <v>111</v>
      </c>
    </row>
    <row r="682" spans="1:15" ht="15">
      <c r="A682" s="6" t="s">
        <v>109</v>
      </c>
      <c r="B682">
        <v>370</v>
      </c>
      <c r="C682" s="2">
        <v>43186</v>
      </c>
      <c r="D682" t="s">
        <v>227</v>
      </c>
      <c r="E682" s="2">
        <v>43100</v>
      </c>
      <c r="F682">
        <v>0</v>
      </c>
      <c r="G682" s="2">
        <v>43186</v>
      </c>
      <c r="H682" s="2">
        <v>43190</v>
      </c>
      <c r="I682" t="s">
        <v>16</v>
      </c>
      <c r="J682" s="3">
        <v>4733.48</v>
      </c>
      <c r="K682">
        <v>430.31</v>
      </c>
      <c r="L682" s="3">
        <v>4303.17</v>
      </c>
      <c r="M682">
        <v>-4</v>
      </c>
      <c r="N682" s="3">
        <v>-17212.68</v>
      </c>
      <c r="O682" s="1" t="s">
        <v>111</v>
      </c>
    </row>
    <row r="683" spans="1:15" ht="15">
      <c r="A683" s="6" t="s">
        <v>109</v>
      </c>
      <c r="B683">
        <v>369</v>
      </c>
      <c r="C683" s="2">
        <v>43186</v>
      </c>
      <c r="D683" t="s">
        <v>229</v>
      </c>
      <c r="E683" s="2">
        <v>43098</v>
      </c>
      <c r="F683">
        <v>0</v>
      </c>
      <c r="G683" s="2">
        <v>43186</v>
      </c>
      <c r="H683" s="2">
        <v>43190</v>
      </c>
      <c r="I683" t="s">
        <v>16</v>
      </c>
      <c r="J683" s="3">
        <v>36685.39</v>
      </c>
      <c r="K683" s="3">
        <v>3335.04</v>
      </c>
      <c r="L683" s="3">
        <v>33350.35</v>
      </c>
      <c r="M683">
        <v>-4</v>
      </c>
      <c r="N683" s="3">
        <v>-133401.4</v>
      </c>
      <c r="O683" s="1" t="s">
        <v>111</v>
      </c>
    </row>
    <row r="684" spans="1:15" ht="15">
      <c r="A684" s="6" t="s">
        <v>195</v>
      </c>
      <c r="B684">
        <v>191</v>
      </c>
      <c r="C684" s="2">
        <v>43151</v>
      </c>
      <c r="D684" t="str">
        <f>"000170"</f>
        <v>000170</v>
      </c>
      <c r="E684" s="2">
        <v>43101</v>
      </c>
      <c r="F684">
        <v>0</v>
      </c>
      <c r="G684" s="2">
        <v>43152</v>
      </c>
      <c r="H684" s="2">
        <v>43158</v>
      </c>
      <c r="I684" t="s">
        <v>16</v>
      </c>
      <c r="J684" s="3">
        <v>1819.13</v>
      </c>
      <c r="K684">
        <v>28.65</v>
      </c>
      <c r="L684" s="3">
        <v>1790.48</v>
      </c>
      <c r="M684">
        <v>-6</v>
      </c>
      <c r="N684" s="3">
        <v>-10742.88</v>
      </c>
      <c r="O684" s="1" t="s">
        <v>111</v>
      </c>
    </row>
    <row r="685" spans="1:15" ht="15">
      <c r="A685" s="6" t="s">
        <v>195</v>
      </c>
      <c r="B685">
        <v>191</v>
      </c>
      <c r="C685" s="2">
        <v>43151</v>
      </c>
      <c r="D685" t="str">
        <f>"000333"</f>
        <v>000333</v>
      </c>
      <c r="E685" s="2">
        <v>43129</v>
      </c>
      <c r="F685">
        <v>0</v>
      </c>
      <c r="G685" s="2">
        <v>43152</v>
      </c>
      <c r="H685" s="2">
        <v>43169</v>
      </c>
      <c r="I685" t="s">
        <v>16</v>
      </c>
      <c r="J685" s="3">
        <v>1937.67</v>
      </c>
      <c r="K685">
        <v>34.87</v>
      </c>
      <c r="L685" s="3">
        <v>1902.8</v>
      </c>
      <c r="M685">
        <v>-17</v>
      </c>
      <c r="N685" s="3">
        <v>-32347.6</v>
      </c>
      <c r="O685" s="1" t="s">
        <v>111</v>
      </c>
    </row>
    <row r="686" spans="1:15" ht="15">
      <c r="A686" s="6" t="s">
        <v>154</v>
      </c>
      <c r="B686">
        <v>97</v>
      </c>
      <c r="C686" s="2">
        <v>43138</v>
      </c>
      <c r="D686" t="s">
        <v>230</v>
      </c>
      <c r="E686" s="2">
        <v>43100</v>
      </c>
      <c r="F686">
        <v>0</v>
      </c>
      <c r="G686" s="2">
        <v>43138</v>
      </c>
      <c r="H686" s="2">
        <v>43156</v>
      </c>
      <c r="I686" t="s">
        <v>16</v>
      </c>
      <c r="J686">
        <v>393.54</v>
      </c>
      <c r="K686">
        <v>70.97</v>
      </c>
      <c r="L686">
        <v>322.57</v>
      </c>
      <c r="M686">
        <v>-18</v>
      </c>
      <c r="N686" s="3">
        <v>-5806.26</v>
      </c>
      <c r="O686" s="1" t="s">
        <v>54</v>
      </c>
    </row>
    <row r="687" spans="1:15" ht="15">
      <c r="A687" s="6" t="s">
        <v>154</v>
      </c>
      <c r="B687">
        <v>96</v>
      </c>
      <c r="C687" s="2">
        <v>43138</v>
      </c>
      <c r="D687" t="s">
        <v>231</v>
      </c>
      <c r="E687" s="2">
        <v>43100</v>
      </c>
      <c r="F687">
        <v>0</v>
      </c>
      <c r="G687" s="2">
        <v>43138</v>
      </c>
      <c r="H687" s="2">
        <v>43156</v>
      </c>
      <c r="I687" t="s">
        <v>16</v>
      </c>
      <c r="J687">
        <v>104.07</v>
      </c>
      <c r="K687">
        <v>18.77</v>
      </c>
      <c r="L687">
        <v>85.3</v>
      </c>
      <c r="M687">
        <v>-18</v>
      </c>
      <c r="N687" s="3">
        <v>-1535.4</v>
      </c>
      <c r="O687" s="1" t="s">
        <v>54</v>
      </c>
    </row>
    <row r="688" spans="1:15" ht="28.8">
      <c r="A688" s="6" t="s">
        <v>232</v>
      </c>
      <c r="B688">
        <v>108</v>
      </c>
      <c r="C688" s="2">
        <v>43139</v>
      </c>
      <c r="D688" t="s">
        <v>233</v>
      </c>
      <c r="E688" s="2">
        <v>43084</v>
      </c>
      <c r="F688">
        <v>0</v>
      </c>
      <c r="G688" s="2">
        <v>43139</v>
      </c>
      <c r="H688" s="2">
        <v>43157</v>
      </c>
      <c r="I688" t="s">
        <v>16</v>
      </c>
      <c r="J688">
        <v>740.3</v>
      </c>
      <c r="K688">
        <v>91.23</v>
      </c>
      <c r="L688">
        <v>649.07</v>
      </c>
      <c r="M688">
        <v>-18</v>
      </c>
      <c r="N688" s="3">
        <v>-11683.26</v>
      </c>
      <c r="O688" s="1" t="s">
        <v>145</v>
      </c>
    </row>
    <row r="689" spans="1:15" ht="15">
      <c r="A689" s="6" t="s">
        <v>61</v>
      </c>
      <c r="B689">
        <v>115</v>
      </c>
      <c r="C689" s="2">
        <v>43139</v>
      </c>
      <c r="D689" t="s">
        <v>234</v>
      </c>
      <c r="E689" s="2">
        <v>43069</v>
      </c>
      <c r="F689">
        <v>0</v>
      </c>
      <c r="G689" s="2">
        <v>43139</v>
      </c>
      <c r="H689" s="2">
        <v>43159</v>
      </c>
      <c r="I689" t="s">
        <v>16</v>
      </c>
      <c r="J689">
        <v>505.01</v>
      </c>
      <c r="K689">
        <v>24.05</v>
      </c>
      <c r="L689">
        <v>480.96</v>
      </c>
      <c r="M689">
        <v>-20</v>
      </c>
      <c r="N689" s="3">
        <v>-9619.2</v>
      </c>
      <c r="O689" s="1" t="s">
        <v>71</v>
      </c>
    </row>
    <row r="690" spans="1:15" ht="15">
      <c r="A690" s="6" t="s">
        <v>61</v>
      </c>
      <c r="B690">
        <v>115</v>
      </c>
      <c r="C690" s="2">
        <v>43139</v>
      </c>
      <c r="D690" t="s">
        <v>235</v>
      </c>
      <c r="E690" s="2">
        <v>43069</v>
      </c>
      <c r="F690">
        <v>0</v>
      </c>
      <c r="G690" s="2">
        <v>43139</v>
      </c>
      <c r="H690" s="2">
        <v>43159</v>
      </c>
      <c r="I690" t="s">
        <v>16</v>
      </c>
      <c r="J690" s="3">
        <v>1221</v>
      </c>
      <c r="K690">
        <v>58.14</v>
      </c>
      <c r="L690" s="3">
        <v>1162.86</v>
      </c>
      <c r="M690">
        <v>-20</v>
      </c>
      <c r="N690" s="3">
        <v>-23257.2</v>
      </c>
      <c r="O690" s="1" t="s">
        <v>71</v>
      </c>
    </row>
    <row r="691" spans="1:15" ht="15">
      <c r="A691" s="6" t="s">
        <v>61</v>
      </c>
      <c r="B691">
        <v>115</v>
      </c>
      <c r="C691" s="2">
        <v>43139</v>
      </c>
      <c r="D691" t="s">
        <v>236</v>
      </c>
      <c r="E691" s="2">
        <v>43069</v>
      </c>
      <c r="F691">
        <v>0</v>
      </c>
      <c r="G691" s="2">
        <v>43139</v>
      </c>
      <c r="H691" s="2">
        <v>43159</v>
      </c>
      <c r="I691" t="s">
        <v>16</v>
      </c>
      <c r="J691">
        <v>486.86</v>
      </c>
      <c r="K691">
        <v>23.18</v>
      </c>
      <c r="L691">
        <v>463.68</v>
      </c>
      <c r="M691">
        <v>-20</v>
      </c>
      <c r="N691" s="3">
        <v>-9273.6</v>
      </c>
      <c r="O691" s="1" t="s">
        <v>71</v>
      </c>
    </row>
    <row r="692" spans="1:15" ht="15">
      <c r="A692" s="6" t="s">
        <v>61</v>
      </c>
      <c r="B692">
        <v>115</v>
      </c>
      <c r="C692" s="2">
        <v>43139</v>
      </c>
      <c r="D692" t="s">
        <v>237</v>
      </c>
      <c r="E692" s="2">
        <v>43069</v>
      </c>
      <c r="F692">
        <v>0</v>
      </c>
      <c r="G692" s="2">
        <v>43139</v>
      </c>
      <c r="H692" s="2">
        <v>43159</v>
      </c>
      <c r="I692" t="s">
        <v>16</v>
      </c>
      <c r="J692" s="3">
        <v>1107.77</v>
      </c>
      <c r="K692">
        <v>52.75</v>
      </c>
      <c r="L692" s="3">
        <v>1055.02</v>
      </c>
      <c r="M692">
        <v>-20</v>
      </c>
      <c r="N692" s="3">
        <v>-21100.4</v>
      </c>
      <c r="O692" s="1" t="s">
        <v>71</v>
      </c>
    </row>
    <row r="693" spans="1:15" ht="15">
      <c r="A693" s="6" t="s">
        <v>61</v>
      </c>
      <c r="B693">
        <v>115</v>
      </c>
      <c r="C693" s="2">
        <v>43139</v>
      </c>
      <c r="D693" t="s">
        <v>238</v>
      </c>
      <c r="E693" s="2">
        <v>43069</v>
      </c>
      <c r="F693">
        <v>0</v>
      </c>
      <c r="G693" s="2">
        <v>43139</v>
      </c>
      <c r="H693" s="2">
        <v>43159</v>
      </c>
      <c r="I693" t="s">
        <v>16</v>
      </c>
      <c r="J693" s="3">
        <v>1370.7</v>
      </c>
      <c r="K693">
        <v>65.27</v>
      </c>
      <c r="L693" s="3">
        <v>1305.43</v>
      </c>
      <c r="M693">
        <v>-20</v>
      </c>
      <c r="N693" s="3">
        <v>-26108.6</v>
      </c>
      <c r="O693" s="1" t="s">
        <v>71</v>
      </c>
    </row>
    <row r="694" spans="1:15" ht="15">
      <c r="A694" s="6" t="s">
        <v>61</v>
      </c>
      <c r="B694">
        <v>116</v>
      </c>
      <c r="C694" s="2">
        <v>43139</v>
      </c>
      <c r="D694" t="s">
        <v>239</v>
      </c>
      <c r="E694" s="2">
        <v>43069</v>
      </c>
      <c r="F694">
        <v>0</v>
      </c>
      <c r="G694" s="2">
        <v>43139</v>
      </c>
      <c r="H694" s="2">
        <v>43159</v>
      </c>
      <c r="I694" t="s">
        <v>16</v>
      </c>
      <c r="J694">
        <v>324.58</v>
      </c>
      <c r="K694">
        <v>15.46</v>
      </c>
      <c r="L694">
        <v>309.12</v>
      </c>
      <c r="M694">
        <v>-20</v>
      </c>
      <c r="N694" s="3">
        <v>-6182.4</v>
      </c>
      <c r="O694" s="1" t="s">
        <v>71</v>
      </c>
    </row>
    <row r="695" spans="1:15" ht="28.8">
      <c r="A695" s="6" t="s">
        <v>120</v>
      </c>
      <c r="B695">
        <v>98</v>
      </c>
      <c r="C695" s="2">
        <v>43138</v>
      </c>
      <c r="D695" t="str">
        <f>"331"</f>
        <v>331</v>
      </c>
      <c r="E695" s="2">
        <v>43099</v>
      </c>
      <c r="F695">
        <v>0</v>
      </c>
      <c r="G695" s="2">
        <v>43138</v>
      </c>
      <c r="H695" s="2">
        <v>43159</v>
      </c>
      <c r="I695" t="s">
        <v>16</v>
      </c>
      <c r="J695">
        <v>535.63</v>
      </c>
      <c r="K695">
        <v>96.59</v>
      </c>
      <c r="L695">
        <v>439.04</v>
      </c>
      <c r="M695">
        <v>-21</v>
      </c>
      <c r="N695" s="3">
        <v>-9219.84</v>
      </c>
      <c r="O695" s="1" t="s">
        <v>118</v>
      </c>
    </row>
    <row r="696" spans="1:15" ht="28.8">
      <c r="A696" s="6" t="s">
        <v>120</v>
      </c>
      <c r="B696">
        <v>99</v>
      </c>
      <c r="C696" s="2">
        <v>43138</v>
      </c>
      <c r="D696" t="str">
        <f>"333"</f>
        <v>333</v>
      </c>
      <c r="E696" s="2">
        <v>43099</v>
      </c>
      <c r="F696">
        <v>0</v>
      </c>
      <c r="G696" s="2">
        <v>43138</v>
      </c>
      <c r="H696" s="2">
        <v>43159</v>
      </c>
      <c r="I696" t="s">
        <v>16</v>
      </c>
      <c r="J696" s="3">
        <v>1339.07</v>
      </c>
      <c r="K696">
        <v>241.47</v>
      </c>
      <c r="L696" s="3">
        <v>1097.6</v>
      </c>
      <c r="M696">
        <v>-21</v>
      </c>
      <c r="N696" s="3">
        <v>-23049.6</v>
      </c>
      <c r="O696" s="1" t="s">
        <v>118</v>
      </c>
    </row>
    <row r="697" spans="1:15" ht="28.8">
      <c r="A697" s="6" t="s">
        <v>120</v>
      </c>
      <c r="B697">
        <v>98</v>
      </c>
      <c r="C697" s="2">
        <v>43138</v>
      </c>
      <c r="D697" t="str">
        <f>"332"</f>
        <v>332</v>
      </c>
      <c r="E697" s="2">
        <v>43099</v>
      </c>
      <c r="F697">
        <v>0</v>
      </c>
      <c r="G697" s="2">
        <v>43138</v>
      </c>
      <c r="H697" s="2">
        <v>43159</v>
      </c>
      <c r="I697" t="s">
        <v>16</v>
      </c>
      <c r="J697">
        <v>552.36</v>
      </c>
      <c r="K697">
        <v>0</v>
      </c>
      <c r="L697">
        <v>552.36</v>
      </c>
      <c r="M697">
        <v>-21</v>
      </c>
      <c r="N697" s="3">
        <v>-11599.56</v>
      </c>
      <c r="O697" s="1" t="s">
        <v>118</v>
      </c>
    </row>
    <row r="698" spans="1:15" ht="28.8">
      <c r="A698" s="6" t="s">
        <v>232</v>
      </c>
      <c r="B698">
        <v>107</v>
      </c>
      <c r="C698" s="2">
        <v>43139</v>
      </c>
      <c r="D698" t="s">
        <v>240</v>
      </c>
      <c r="E698" s="2">
        <v>43075</v>
      </c>
      <c r="F698">
        <v>0</v>
      </c>
      <c r="G698" s="2">
        <v>43139</v>
      </c>
      <c r="H698" s="2">
        <v>43161</v>
      </c>
      <c r="I698" t="s">
        <v>16</v>
      </c>
      <c r="J698">
        <v>3.15</v>
      </c>
      <c r="K698">
        <v>0.57</v>
      </c>
      <c r="L698">
        <v>2.58</v>
      </c>
      <c r="M698">
        <v>-22</v>
      </c>
      <c r="N698">
        <v>-56.76</v>
      </c>
      <c r="O698" s="1" t="s">
        <v>145</v>
      </c>
    </row>
    <row r="699" spans="1:15" ht="28.8">
      <c r="A699" s="6" t="s">
        <v>232</v>
      </c>
      <c r="B699">
        <v>107</v>
      </c>
      <c r="C699" s="2">
        <v>43139</v>
      </c>
      <c r="D699" t="s">
        <v>241</v>
      </c>
      <c r="E699" s="2">
        <v>43075</v>
      </c>
      <c r="F699">
        <v>0</v>
      </c>
      <c r="G699" s="2">
        <v>43139</v>
      </c>
      <c r="H699" s="2">
        <v>43161</v>
      </c>
      <c r="I699" t="s">
        <v>16</v>
      </c>
      <c r="J699">
        <v>74.87</v>
      </c>
      <c r="K699">
        <v>12.84</v>
      </c>
      <c r="L699">
        <v>62.03</v>
      </c>
      <c r="M699">
        <v>-22</v>
      </c>
      <c r="N699" s="3">
        <v>-1364.66</v>
      </c>
      <c r="O699" s="1" t="s">
        <v>145</v>
      </c>
    </row>
    <row r="700" spans="1:15" ht="28.8">
      <c r="A700" s="6" t="s">
        <v>232</v>
      </c>
      <c r="B700">
        <v>107</v>
      </c>
      <c r="C700" s="2">
        <v>43139</v>
      </c>
      <c r="D700" t="s">
        <v>242</v>
      </c>
      <c r="E700" s="2">
        <v>43075</v>
      </c>
      <c r="F700">
        <v>0</v>
      </c>
      <c r="G700" s="2">
        <v>43139</v>
      </c>
      <c r="H700" s="2">
        <v>43161</v>
      </c>
      <c r="I700" t="s">
        <v>16</v>
      </c>
      <c r="J700">
        <v>31.62</v>
      </c>
      <c r="K700">
        <v>5.7</v>
      </c>
      <c r="L700">
        <v>25.92</v>
      </c>
      <c r="M700">
        <v>-22</v>
      </c>
      <c r="N700">
        <v>-570.24</v>
      </c>
      <c r="O700" s="1" t="s">
        <v>145</v>
      </c>
    </row>
    <row r="701" spans="1:15" ht="28.8">
      <c r="A701" s="6" t="s">
        <v>232</v>
      </c>
      <c r="B701">
        <v>107</v>
      </c>
      <c r="C701" s="2">
        <v>43139</v>
      </c>
      <c r="D701" t="s">
        <v>243</v>
      </c>
      <c r="E701" s="2">
        <v>43075</v>
      </c>
      <c r="F701">
        <v>0</v>
      </c>
      <c r="G701" s="2">
        <v>43139</v>
      </c>
      <c r="H701" s="2">
        <v>43161</v>
      </c>
      <c r="I701" t="s">
        <v>16</v>
      </c>
      <c r="J701">
        <v>3.15</v>
      </c>
      <c r="K701">
        <v>0.57</v>
      </c>
      <c r="L701">
        <v>2.58</v>
      </c>
      <c r="M701">
        <v>-22</v>
      </c>
      <c r="N701">
        <v>-56.76</v>
      </c>
      <c r="O701" s="1" t="s">
        <v>145</v>
      </c>
    </row>
    <row r="702" spans="1:15" ht="28.8">
      <c r="A702" s="6" t="s">
        <v>232</v>
      </c>
      <c r="B702">
        <v>107</v>
      </c>
      <c r="C702" s="2">
        <v>43139</v>
      </c>
      <c r="D702" t="s">
        <v>244</v>
      </c>
      <c r="E702" s="2">
        <v>43075</v>
      </c>
      <c r="F702">
        <v>0</v>
      </c>
      <c r="G702" s="2">
        <v>43139</v>
      </c>
      <c r="H702" s="2">
        <v>43161</v>
      </c>
      <c r="I702" t="s">
        <v>16</v>
      </c>
      <c r="J702">
        <v>15.69</v>
      </c>
      <c r="K702">
        <v>2.83</v>
      </c>
      <c r="L702">
        <v>12.86</v>
      </c>
      <c r="M702">
        <v>-22</v>
      </c>
      <c r="N702">
        <v>-282.92</v>
      </c>
      <c r="O702" s="1" t="s">
        <v>145</v>
      </c>
    </row>
    <row r="703" spans="1:15" ht="28.8">
      <c r="A703" s="6" t="s">
        <v>232</v>
      </c>
      <c r="B703">
        <v>107</v>
      </c>
      <c r="C703" s="2">
        <v>43139</v>
      </c>
      <c r="D703" t="s">
        <v>245</v>
      </c>
      <c r="E703" s="2">
        <v>43075</v>
      </c>
      <c r="F703">
        <v>0</v>
      </c>
      <c r="G703" s="2">
        <v>43139</v>
      </c>
      <c r="H703" s="2">
        <v>43161</v>
      </c>
      <c r="I703" t="s">
        <v>16</v>
      </c>
      <c r="J703">
        <v>111.34</v>
      </c>
      <c r="K703">
        <v>20.08</v>
      </c>
      <c r="L703">
        <v>91.26</v>
      </c>
      <c r="M703">
        <v>-22</v>
      </c>
      <c r="N703" s="3">
        <v>-2007.72</v>
      </c>
      <c r="O703" s="1" t="s">
        <v>145</v>
      </c>
    </row>
    <row r="704" spans="1:15" ht="28.8">
      <c r="A704" s="6" t="s">
        <v>232</v>
      </c>
      <c r="B704">
        <v>107</v>
      </c>
      <c r="C704" s="2">
        <v>43139</v>
      </c>
      <c r="D704" t="s">
        <v>246</v>
      </c>
      <c r="E704" s="2">
        <v>43075</v>
      </c>
      <c r="F704">
        <v>0</v>
      </c>
      <c r="G704" s="2">
        <v>43139</v>
      </c>
      <c r="H704" s="2">
        <v>43161</v>
      </c>
      <c r="I704" t="s">
        <v>16</v>
      </c>
      <c r="J704">
        <v>120.74</v>
      </c>
      <c r="K704">
        <v>21.3</v>
      </c>
      <c r="L704">
        <v>99.44</v>
      </c>
      <c r="M704">
        <v>-22</v>
      </c>
      <c r="N704" s="3">
        <v>-2187.68</v>
      </c>
      <c r="O704" s="1" t="s">
        <v>145</v>
      </c>
    </row>
    <row r="705" spans="1:15" ht="28.8">
      <c r="A705" s="6" t="s">
        <v>232</v>
      </c>
      <c r="B705">
        <v>107</v>
      </c>
      <c r="C705" s="2">
        <v>43139</v>
      </c>
      <c r="D705" t="str">
        <f>"4220518800047732"</f>
        <v>4220518800047732</v>
      </c>
      <c r="E705" s="2">
        <v>43075</v>
      </c>
      <c r="F705">
        <v>0</v>
      </c>
      <c r="G705" s="2">
        <v>43139</v>
      </c>
      <c r="H705" s="2">
        <v>43161</v>
      </c>
      <c r="I705" t="s">
        <v>16</v>
      </c>
      <c r="J705">
        <v>9.44</v>
      </c>
      <c r="K705">
        <v>1.7</v>
      </c>
      <c r="L705">
        <v>7.74</v>
      </c>
      <c r="M705">
        <v>-22</v>
      </c>
      <c r="N705">
        <v>-170.28</v>
      </c>
      <c r="O705" s="1" t="s">
        <v>247</v>
      </c>
    </row>
    <row r="706" spans="1:15" ht="28.8">
      <c r="A706" s="6" t="s">
        <v>120</v>
      </c>
      <c r="B706">
        <v>67</v>
      </c>
      <c r="C706" s="2">
        <v>43133</v>
      </c>
      <c r="D706" t="str">
        <f>"303"</f>
        <v>303</v>
      </c>
      <c r="E706" s="2">
        <v>43069</v>
      </c>
      <c r="F706">
        <v>0</v>
      </c>
      <c r="G706" s="2">
        <v>43133</v>
      </c>
      <c r="H706" s="2">
        <v>43156</v>
      </c>
      <c r="I706" t="s">
        <v>16</v>
      </c>
      <c r="J706" s="3">
        <v>16032.02</v>
      </c>
      <c r="K706">
        <v>616.62</v>
      </c>
      <c r="L706" s="3">
        <v>15415.4</v>
      </c>
      <c r="M706">
        <v>-23</v>
      </c>
      <c r="N706" s="3">
        <v>-354554.2</v>
      </c>
      <c r="O706" s="1" t="s">
        <v>118</v>
      </c>
    </row>
    <row r="707" spans="1:15" ht="15">
      <c r="A707" s="6" t="s">
        <v>248</v>
      </c>
      <c r="B707">
        <v>0</v>
      </c>
      <c r="D707" t="s">
        <v>249</v>
      </c>
      <c r="F707">
        <v>0</v>
      </c>
      <c r="J707" s="3">
        <v>719147.97</v>
      </c>
      <c r="K707" s="3">
        <v>74825.05</v>
      </c>
      <c r="L707" s="3">
        <v>644322.92</v>
      </c>
      <c r="M707">
        <v>52.72</v>
      </c>
      <c r="N707" s="3">
        <v>33967303.66</v>
      </c>
      <c r="O707" s="1" t="s">
        <v>250</v>
      </c>
    </row>
  </sheetData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Rosella Casciola</dc:creator>
  <cp:keywords/>
  <dc:description/>
  <cp:lastModifiedBy>Rosella Casciola</cp:lastModifiedBy>
  <dcterms:created xsi:type="dcterms:W3CDTF">2018-04-18T09:07:52Z</dcterms:created>
  <dcterms:modified xsi:type="dcterms:W3CDTF">2018-04-18T09:10:10Z</dcterms:modified>
  <cp:category/>
  <cp:version/>
  <cp:contentType/>
  <cp:contentStatus/>
</cp:coreProperties>
</file>